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3"/>
  <workbookPr filterPrivacy="1"/>
  <xr:revisionPtr revIDLastSave="0" documentId="8_{6274310F-425A-9F43-BAEF-1B76BC0204E0}" xr6:coauthVersionLast="33" xr6:coauthVersionMax="33" xr10:uidLastSave="{00000000-0000-0000-0000-000000000000}"/>
  <bookViews>
    <workbookView xWindow="0" yWindow="460" windowWidth="31720" windowHeight="16520" xr2:uid="{00000000-000D-0000-FFFF-FFFF00000000}"/>
  </bookViews>
  <sheets>
    <sheet name="Instructions" sheetId="6" r:id="rId1"/>
    <sheet name="Hotel Details" sheetId="4" r:id="rId2"/>
    <sheet name="Equipment Details" sheetId="5" r:id="rId3"/>
    <sheet name="Fiber Optics (GPON)" sheetId="1" r:id="rId4"/>
    <sheet name="Copper" sheetId="2" r:id="rId5"/>
    <sheet name="Comparisons" sheetId="3" r:id="rId6"/>
    <sheet name="GPON Considerations" sheetId="7" r:id="rId7"/>
    <sheet name="Sheet1" sheetId="8" r:id="rId8"/>
  </sheets>
  <definedNames>
    <definedName name="_ftn1" localSheetId="5">'GPON Considerations'!$A$62</definedName>
    <definedName name="_ftnref1" localSheetId="5">'GPON Considerations'!$C$23</definedName>
    <definedName name="AvgCableLength">Copper!#REF!</definedName>
    <definedName name="AvgCableLengthCopper">'Equipment Details'!$B$10</definedName>
    <definedName name="AvgCableLengthGPON">'Equipment Details'!$B$11</definedName>
    <definedName name="AvgCableLengthONTtoDevice">'Equipment Details'!$B$12</definedName>
    <definedName name="AvgCableLengthONTtoDeviceMeetingSpace">'Equipment Details'!$B$13</definedName>
    <definedName name="BackboneRuns">Copper!$C$6</definedName>
    <definedName name="BackofHouseTotalPortCount">'Hotel Details'!$J$27</definedName>
    <definedName name="BohONTPortSizeDefault">'Equipment Details'!$B$27</definedName>
    <definedName name="CablingDistance">Copper!$C$22</definedName>
    <definedName name="Camera_Watts">'Equipment Details'!#REF!</definedName>
    <definedName name="ConfSpaceONTportSizeDefault">'Equipment Details'!$B$28</definedName>
    <definedName name="Copper_Maintenance">'Equipment Details'!$B$46</definedName>
    <definedName name="Copper_SLA">'Equipment Details'!$B$42</definedName>
    <definedName name="CopperCablePorts">Copper!$C$5</definedName>
    <definedName name="CoreSwitchWattage">'Equipment Details'!$B$4</definedName>
    <definedName name="EdgeSwitches">Copper!$C$16</definedName>
    <definedName name="GPON_Maintenance">'Equipment Details'!$B$45</definedName>
    <definedName name="GPON_SLA">'Equipment Details'!$B$41</definedName>
    <definedName name="GPONSupportContractDefault">'Equipment Details'!$B$45</definedName>
    <definedName name="GuestRoomONTportCountDefault">'Equipment Details'!$B$25</definedName>
    <definedName name="KwHCost">'Equipment Details'!$B$17</definedName>
    <definedName name="MeetingRoomTotalPortCount">'Hotel Details'!$J$13</definedName>
    <definedName name="Non_Wifi_Controllers">'Equipment Details'!#REF!</definedName>
    <definedName name="NonGuestRoomTotalPortCount">'Hotel Details'!$K$25</definedName>
    <definedName name="NumberFloors">'Hotel Details'!$B$7</definedName>
    <definedName name="NumberHotelRooms">'Hotel Details'!$B$10</definedName>
    <definedName name="NumberHotelSuites">'Hotel Details'!$B$11</definedName>
    <definedName name="NumberIDFs">'Hotel Details'!$B$8</definedName>
    <definedName name="NumberMeetingRooms">'Hotel Details'!$B$13</definedName>
    <definedName name="OLT_Wattage">'Equipment Details'!$B$6</definedName>
    <definedName name="OLTEthernetCoreConnections">'Equipment Details'!$B$23</definedName>
    <definedName name="OLTLineCardPortDefault">'Equipment Details'!$B$22</definedName>
    <definedName name="ONT_WATTS">'Equipment Details'!$B$5</definedName>
    <definedName name="ONTportCountDefault">'Equipment Details'!$B$25</definedName>
    <definedName name="OtherEquipmentCount">'Equipment Details'!#REF!</definedName>
    <definedName name="PerOLTPortKWH">'Equipment Details'!#REF!</definedName>
    <definedName name="PortsPerGuestRoom">'Hotel Details'!$I$10</definedName>
    <definedName name="PortsPerSuite">'Hotel Details'!$I$11</definedName>
    <definedName name="PublicAreaONTPortSizeDefault">'Equipment Details'!$B$26</definedName>
    <definedName name="SplitRatio">'Equipment Details'!$B$21</definedName>
    <definedName name="SupportContractPercentageDefault">'Equipment Details'!#REF!</definedName>
    <definedName name="Switch_Watts">'Equipment Details'!$B$3</definedName>
    <definedName name="SwitchWattage">Copper!$C$32</definedName>
    <definedName name="SwitchWatts">'Equipment Details'!$B$3</definedName>
    <definedName name="TelecomRooms_IDF">Copper!#REF!</definedName>
    <definedName name="TotalCostCopper">Copper!$E$35</definedName>
    <definedName name="TotalCostGPON">'Fiber Optics (GPON)'!$E$65</definedName>
    <definedName name="TotalElectronicsCopper">Copper!$E$38</definedName>
    <definedName name="TotalElectronicsGPON">'Fiber Optics (GPON)'!$D$68</definedName>
    <definedName name="TotalGuestRoomONTCount">'Fiber Optics (GPON)'!$C$29</definedName>
    <definedName name="TotalGuestRooms">'Hotel Details'!$B$33</definedName>
    <definedName name="TotalInfrastructureCopper">Copper!$E$39</definedName>
    <definedName name="TotalInfrastructureGPON">'Fiber Optics (GPON)'!$D$69</definedName>
    <definedName name="TotalLaborCopper">Copper!$E$37</definedName>
    <definedName name="TotalLaborGPON">'Fiber Optics (GPON)'!$E$67</definedName>
    <definedName name="TotalPortCount">Copper!$C$14</definedName>
    <definedName name="TotalPortsGuestRoom">'Hotel Details'!$J$10</definedName>
    <definedName name="TotalPortsSuites">'Hotel Details'!$J$11</definedName>
    <definedName name="WattsPerGR_Copper">'Equipment Details'!#REF!</definedName>
    <definedName name="WattsPerGR_GPON">'Equipment Details'!$B$18</definedName>
  </definedNames>
  <calcPr calcId="17901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40" i="1" l="1"/>
  <c r="E40" i="1" s="1"/>
  <c r="C34" i="2"/>
  <c r="E34" i="2" s="1"/>
  <c r="C6" i="2" l="1"/>
  <c r="C28" i="1" l="1"/>
  <c r="C27" i="1"/>
  <c r="E26" i="2" l="1"/>
  <c r="E27" i="2"/>
  <c r="E28" i="2"/>
  <c r="E29" i="2"/>
  <c r="E30" i="2"/>
  <c r="E25" i="2"/>
  <c r="E64" i="1"/>
  <c r="B33" i="4"/>
  <c r="C45" i="1"/>
  <c r="E37" i="2" l="1"/>
  <c r="B4" i="3" s="1"/>
  <c r="E13" i="1"/>
  <c r="E18" i="2" l="1"/>
  <c r="C12" i="2" l="1"/>
  <c r="E12" i="2" s="1"/>
  <c r="E6" i="2" l="1"/>
  <c r="E7" i="1"/>
  <c r="E8" i="1"/>
  <c r="C20" i="1"/>
  <c r="I13" i="4"/>
  <c r="J13" i="4" s="1"/>
  <c r="E45" i="1"/>
  <c r="E60" i="1"/>
  <c r="E61" i="1"/>
  <c r="E62" i="1"/>
  <c r="E63" i="1"/>
  <c r="E56" i="1"/>
  <c r="E57" i="1"/>
  <c r="E58" i="1"/>
  <c r="E59" i="1"/>
  <c r="I25" i="4"/>
  <c r="J25" i="4" s="1"/>
  <c r="I27" i="4"/>
  <c r="J27" i="4" s="1"/>
  <c r="I24" i="4"/>
  <c r="J24" i="4" s="1"/>
  <c r="I30" i="4"/>
  <c r="J30" i="4" s="1"/>
  <c r="I31" i="4"/>
  <c r="J31" i="4" s="1"/>
  <c r="I29" i="4"/>
  <c r="J29" i="4" s="1"/>
  <c r="I23" i="4"/>
  <c r="J23" i="4" s="1"/>
  <c r="I16" i="4"/>
  <c r="J16" i="4" s="1"/>
  <c r="I17" i="4"/>
  <c r="J17" i="4" s="1"/>
  <c r="I18" i="4"/>
  <c r="J18" i="4" s="1"/>
  <c r="I19" i="4"/>
  <c r="J19" i="4" s="1"/>
  <c r="I20" i="4"/>
  <c r="J20" i="4" s="1"/>
  <c r="I21" i="4"/>
  <c r="J21" i="4" s="1"/>
  <c r="I22" i="4"/>
  <c r="J22" i="4" s="1"/>
  <c r="I15" i="4"/>
  <c r="J15" i="4" s="1"/>
  <c r="I10" i="4"/>
  <c r="J10" i="4" s="1"/>
  <c r="I11" i="4"/>
  <c r="J11" i="4" s="1"/>
  <c r="E28" i="1" s="1"/>
  <c r="E67" i="1" l="1"/>
  <c r="C5" i="2"/>
  <c r="C4" i="2" s="1"/>
  <c r="C4" i="3"/>
  <c r="C14" i="2"/>
  <c r="C23" i="1"/>
  <c r="C25" i="1"/>
  <c r="E25" i="1" s="1"/>
  <c r="C17" i="1"/>
  <c r="E17" i="1" s="1"/>
  <c r="C15" i="1"/>
  <c r="E15" i="1" s="1"/>
  <c r="C31" i="1"/>
  <c r="E31" i="1" s="1"/>
  <c r="K25" i="4"/>
  <c r="C16" i="2" l="1"/>
  <c r="C32" i="2" s="1"/>
  <c r="E32" i="2" s="1"/>
  <c r="C22" i="2"/>
  <c r="C3" i="2"/>
  <c r="E3" i="2" s="1"/>
  <c r="C5" i="1"/>
  <c r="E5" i="1" s="1"/>
  <c r="E23" i="1"/>
  <c r="C8" i="2"/>
  <c r="C6" i="1"/>
  <c r="E6" i="1" s="1"/>
  <c r="C21" i="1"/>
  <c r="E21" i="1" s="1"/>
  <c r="C19" i="1"/>
  <c r="C30" i="1"/>
  <c r="C29" i="1"/>
  <c r="E27" i="1"/>
  <c r="E32" i="1" s="1"/>
  <c r="E4" i="2"/>
  <c r="C38" i="1" l="1"/>
  <c r="E38" i="1" s="1"/>
  <c r="C23" i="2"/>
  <c r="C21" i="2"/>
  <c r="E8" i="2"/>
  <c r="C10" i="2"/>
  <c r="E10" i="2" s="1"/>
  <c r="E16" i="2"/>
  <c r="E17" i="2" s="1"/>
  <c r="B8" i="3" s="1"/>
  <c r="C19" i="2"/>
  <c r="C33" i="2"/>
  <c r="E33" i="2" s="1"/>
  <c r="E40" i="2" s="1"/>
  <c r="C7" i="2"/>
  <c r="E7" i="2" s="1"/>
  <c r="E22" i="2"/>
  <c r="E21" i="2"/>
  <c r="E23" i="2"/>
  <c r="C47" i="1"/>
  <c r="E47" i="1" s="1"/>
  <c r="C46" i="1"/>
  <c r="E46" i="1" s="1"/>
  <c r="C4" i="1"/>
  <c r="E4" i="1" s="1"/>
  <c r="E19" i="1"/>
  <c r="C3" i="1"/>
  <c r="E3" i="1" s="1"/>
  <c r="C44" i="1"/>
  <c r="C53" i="1" s="1"/>
  <c r="C42" i="1" l="1"/>
  <c r="E42" i="1" s="1"/>
  <c r="C39" i="1"/>
  <c r="E39" i="1" s="1"/>
  <c r="E70" i="1" s="1"/>
  <c r="B10" i="3"/>
  <c r="E38" i="2"/>
  <c r="B2" i="3" s="1"/>
  <c r="B9" i="3" s="1"/>
  <c r="C52" i="1"/>
  <c r="E52" i="1" s="1"/>
  <c r="E53" i="1"/>
  <c r="C54" i="1"/>
  <c r="E54" i="1" s="1"/>
  <c r="C48" i="1"/>
  <c r="E35" i="2"/>
  <c r="B5" i="3" s="1"/>
  <c r="E39" i="2"/>
  <c r="B3" i="3" s="1"/>
  <c r="C10" i="1"/>
  <c r="E10" i="1" s="1"/>
  <c r="C9" i="1"/>
  <c r="E9" i="1" s="1"/>
  <c r="E44" i="1"/>
  <c r="C10" i="3" l="1"/>
  <c r="E12" i="1"/>
  <c r="E68" i="1" s="1"/>
  <c r="B12" i="3"/>
  <c r="E48" i="1"/>
  <c r="C49" i="1"/>
  <c r="E49" i="1" s="1"/>
  <c r="E65" i="1" l="1"/>
  <c r="E69" i="1"/>
  <c r="C3" i="3" s="1"/>
  <c r="C8" i="3"/>
  <c r="C2" i="3"/>
  <c r="C9" i="3" s="1"/>
  <c r="C5" i="3" l="1"/>
  <c r="C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300-000001000000}">
      <text>
        <r>
          <rPr>
            <b/>
            <sz val="10"/>
            <color rgb="FF000000"/>
            <rFont val="Calibri"/>
            <family val="2"/>
          </rPr>
          <t xml:space="preserve">Microsoft Office User:Default Calculations - DO NOT CHANGE
</t>
        </r>
      </text>
    </comment>
    <comment ref="C14" authorId="0" shapeId="0" xr:uid="{00000000-0006-0000-0300-000002000000}">
      <text>
        <r>
          <rPr>
            <b/>
            <sz val="10"/>
            <color rgb="FF000000"/>
            <rFont val="Calibri"/>
            <family val="2"/>
          </rPr>
          <t xml:space="preserve">Microsoft Office User:Default Calculations - DO NOT CHANGE
</t>
        </r>
      </text>
    </comment>
    <comment ref="C18" authorId="0" shapeId="0" xr:uid="{00000000-0006-0000-0300-000003000000}">
      <text>
        <r>
          <rPr>
            <b/>
            <sz val="10"/>
            <color rgb="FF000000"/>
            <rFont val="Calibri"/>
            <family val="2"/>
          </rPr>
          <t xml:space="preserve">Microsoft Office User:Default Calculations - DO NOT CHANGE
</t>
        </r>
      </text>
    </comment>
    <comment ref="C22" authorId="0" shapeId="0" xr:uid="{00000000-0006-0000-0300-000004000000}">
      <text>
        <r>
          <rPr>
            <b/>
            <sz val="10"/>
            <color rgb="FF000000"/>
            <rFont val="Calibri"/>
            <family val="2"/>
          </rPr>
          <t xml:space="preserve">Microsoft Office User:Default Calculations - DO NOT CHANGE
</t>
        </r>
      </text>
    </comment>
    <comment ref="C26" authorId="0" shapeId="0" xr:uid="{00000000-0006-0000-0300-000005000000}">
      <text>
        <r>
          <rPr>
            <b/>
            <sz val="10"/>
            <color rgb="FF000000"/>
            <rFont val="Calibri"/>
            <family val="2"/>
          </rPr>
          <t xml:space="preserve">Microsoft Office User:Default Calculations - DO NOT CHANGE
</t>
        </r>
      </text>
    </comment>
    <comment ref="C33" authorId="0" shapeId="0" xr:uid="{00000000-0006-0000-0300-000006000000}">
      <text>
        <r>
          <rPr>
            <b/>
            <sz val="10"/>
            <color rgb="FF000000"/>
            <rFont val="Calibri"/>
            <family val="2"/>
          </rPr>
          <t xml:space="preserve">Microsoft Office User:Default Calculations - DO NOT CHANGE
</t>
        </r>
      </text>
    </comment>
    <comment ref="C41" authorId="0" shapeId="0" xr:uid="{00000000-0006-0000-0300-000007000000}">
      <text>
        <r>
          <rPr>
            <b/>
            <sz val="10"/>
            <color rgb="FF000000"/>
            <rFont val="Calibri"/>
            <family val="2"/>
          </rPr>
          <t xml:space="preserve">Microsoft Office User:Default Calculations - DO NOT CHANGE
</t>
        </r>
      </text>
    </comment>
    <comment ref="C43" authorId="0" shapeId="0" xr:uid="{00000000-0006-0000-0300-000008000000}">
      <text>
        <r>
          <rPr>
            <b/>
            <sz val="10"/>
            <color rgb="FF000000"/>
            <rFont val="Calibri"/>
            <family val="2"/>
          </rPr>
          <t xml:space="preserve">Microsoft Office User:Default Calculations - DO NOT CHANGE
</t>
        </r>
      </text>
    </comment>
    <comment ref="C51" authorId="0" shapeId="0" xr:uid="{00000000-0006-0000-0300-000009000000}">
      <text>
        <r>
          <rPr>
            <b/>
            <sz val="10"/>
            <color rgb="FF000000"/>
            <rFont val="Calibri"/>
            <family val="2"/>
          </rPr>
          <t xml:space="preserve">Microsoft Office User:Default Calculations - DO NOT CHANGE
</t>
        </r>
      </text>
    </comment>
    <comment ref="C55" authorId="0" shapeId="0" xr:uid="{00000000-0006-0000-0300-00000A000000}">
      <text>
        <r>
          <rPr>
            <b/>
            <sz val="10"/>
            <color rgb="FF000000"/>
            <rFont val="Calibri"/>
            <family val="2"/>
          </rPr>
          <t xml:space="preserve">Microsoft Office User:Default Calculations - DO NOT CHANGE
</t>
        </r>
      </text>
    </comment>
  </commentList>
</comments>
</file>

<file path=xl/sharedStrings.xml><?xml version="1.0" encoding="utf-8"?>
<sst xmlns="http://schemas.openxmlformats.org/spreadsheetml/2006/main" count="608" uniqueCount="379">
  <si>
    <t>Electronics</t>
  </si>
  <si>
    <t>Hotel Details</t>
  </si>
  <si>
    <t>Convention Space</t>
  </si>
  <si>
    <t>Back of House</t>
  </si>
  <si>
    <t>Number of Rooms (total)</t>
  </si>
  <si>
    <t>Standard Rooms</t>
  </si>
  <si>
    <t>Suites</t>
  </si>
  <si>
    <t>Number of Meeting Rooms</t>
  </si>
  <si>
    <t>Number of Restaurants</t>
  </si>
  <si>
    <t>Pools</t>
  </si>
  <si>
    <t>Units</t>
  </si>
  <si>
    <t>Data Connections</t>
  </si>
  <si>
    <t>Voice Connections</t>
  </si>
  <si>
    <t>Instructions</t>
  </si>
  <si>
    <t>Sum of phone/data/camera/TV jacks from Hotel Details tab</t>
  </si>
  <si>
    <t>Equals Copper Cable ports divided by 48, rounded up</t>
  </si>
  <si>
    <t>Patch Cables</t>
  </si>
  <si>
    <t>Copper Cable Ports x2 (one at each end)</t>
  </si>
  <si>
    <t>Fiber Backbone Runs</t>
  </si>
  <si>
    <t>Fiber Patch Panels</t>
  </si>
  <si>
    <t>Fiber Patch Cables</t>
  </si>
  <si>
    <t>Description</t>
  </si>
  <si>
    <t xml:space="preserve">OLT Power Supply </t>
  </si>
  <si>
    <t>If required</t>
  </si>
  <si>
    <t>OLT Line Cards</t>
  </si>
  <si>
    <t>Horizontal Fiber</t>
  </si>
  <si>
    <t>Riser Fiber</t>
  </si>
  <si>
    <t>HVAC Requirements</t>
  </si>
  <si>
    <t>Switch Support &amp; Maintenance</t>
  </si>
  <si>
    <t>If required, annualized (typically)</t>
  </si>
  <si>
    <t>Cabling / Cabling Components</t>
  </si>
  <si>
    <t>Conduit / Space Requirements</t>
  </si>
  <si>
    <t>Labor requirements</t>
  </si>
  <si>
    <t>SPA</t>
  </si>
  <si>
    <t>Bar</t>
  </si>
  <si>
    <t>Cable trays</t>
  </si>
  <si>
    <t>J-Hooks (1.5 ft spacing)</t>
  </si>
  <si>
    <t>Electricians</t>
  </si>
  <si>
    <t>Low voltage installers</t>
  </si>
  <si>
    <t>J-Hooks (1.5 meters spacing)</t>
  </si>
  <si>
    <t>Cable Details</t>
  </si>
  <si>
    <t>IDF/MDF Requirements</t>
  </si>
  <si>
    <t>In-Room Requirements</t>
  </si>
  <si>
    <t>Copper cabling from ONT to end devices</t>
  </si>
  <si>
    <t>ONT Housing - Media Box (junction box)</t>
  </si>
  <si>
    <t>Small sized (1-2 ethernet ports)</t>
  </si>
  <si>
    <t>Very minimal requirements, but still needs to be an enterprise grade switch</t>
  </si>
  <si>
    <t>Need to identify average distance from GPON ONT to end device (phone on bed side table etc) (number of drops*1*cablecost)</t>
  </si>
  <si>
    <t>Distributed power (if required)</t>
  </si>
  <si>
    <t>Centralized power (if required)</t>
  </si>
  <si>
    <t>Core Switch</t>
  </si>
  <si>
    <t>Conduit requirements (for power)</t>
  </si>
  <si>
    <t>Costs vary by region, consult local installers or integrators for specifics</t>
  </si>
  <si>
    <t>CCTV - Security</t>
  </si>
  <si>
    <t>Fitness Areas (TVs and IP drops)</t>
  </si>
  <si>
    <t>UPS</t>
  </si>
  <si>
    <t>Cabinets &amp; Racks</t>
  </si>
  <si>
    <t>Electricians (per hour)</t>
  </si>
  <si>
    <t>Cable Terminations</t>
  </si>
  <si>
    <t>Hybrid power (digital / line electricity - high voltage DC)</t>
  </si>
  <si>
    <t>Data Centers (assumes active fiber or copper infrastructure)</t>
  </si>
  <si>
    <t>Data Center 1</t>
  </si>
  <si>
    <t>Data Center 2</t>
  </si>
  <si>
    <t>Video Connections (assumes IPTV)</t>
  </si>
  <si>
    <t>Total Ports Per Room</t>
  </si>
  <si>
    <t>Is POE required for any port?</t>
  </si>
  <si>
    <t>total number of ports in hotel rooms divided by default of 4 ports (4 port ONT)</t>
  </si>
  <si>
    <t>1 for every OLT port (entire hotel)</t>
  </si>
  <si>
    <t>2 * number of OLTs (not ports)</t>
  </si>
  <si>
    <t>1 per guest room, 1 per hotel area</t>
  </si>
  <si>
    <t>manufacturer dependent (dropdown to select number of ports/line card - 4, 8, 16)</t>
  </si>
  <si>
    <t>this is a factor to be accounted for that will affect costs of many components (yes or no)</t>
  </si>
  <si>
    <t>number of guest rooms divided by 28 (+1 for extra) - the 28 is a split ratio</t>
  </si>
  <si>
    <t>number of conference area ports divided by 64 (generally, number of ethernet ports supported on an individual OLT port)</t>
  </si>
  <si>
    <t>Number of OLTs &amp; Core Switches in IDF/MDF *</t>
  </si>
  <si>
    <t>Need to estimate the average power draw per room (1 phone, 1 AP per room typically (15watts average), and the ONT itself)</t>
  </si>
  <si>
    <t>Terminations (Fiber) - Labor</t>
  </si>
  <si>
    <t>Terminations (Copper) - Labor</t>
  </si>
  <si>
    <t>IDFs</t>
  </si>
  <si>
    <t>number of IDFs * 750 FT average run length  (assumes average of 750 ft run per riser fiber)</t>
  </si>
  <si>
    <t>((number of rooms per floor served by an IDF / 28) * number of floors) round up</t>
  </si>
  <si>
    <t>MDF - number of splitters, IDF - number of ONTs * 2</t>
  </si>
  <si>
    <t>1 per MDF, 1 per IDF</t>
  </si>
  <si>
    <t>number of ONTs divided by 6</t>
  </si>
  <si>
    <t>number of ONTs divided by 12</t>
  </si>
  <si>
    <t>Copper Patch Panels (includes housing)</t>
  </si>
  <si>
    <t>total number of cabling ft / 1.5 meters (change to feet)</t>
  </si>
  <si>
    <t>Infrastructure (Cabling, conduit, etc)</t>
  </si>
  <si>
    <t>Labor Costs</t>
  </si>
  <si>
    <t>Total cost of copper deployment (CAPEX)</t>
  </si>
  <si>
    <t>Electronics Wattage * kWh costs</t>
  </si>
  <si>
    <t>(wattage per room) * number of rooms per IDF = total power draw</t>
  </si>
  <si>
    <t>user must ask vendors for a quote that satisfies the power draw requirements</t>
  </si>
  <si>
    <t>Power Draw by Appliance Type</t>
  </si>
  <si>
    <t>Default (User configurable)</t>
  </si>
  <si>
    <t>3.41 BTUs per watt * (total watts per IDF) = total BTUs</t>
  </si>
  <si>
    <t>user should ask vendor for a quote that provides HVAC for that amount of BTUs</t>
  </si>
  <si>
    <t>Copper</t>
  </si>
  <si>
    <t>Fiber</t>
  </si>
  <si>
    <t>Total</t>
  </si>
  <si>
    <t>Electronics Wattage * kWh costs (noting GPON uses typically 40% less)</t>
  </si>
  <si>
    <t>(what is generating power in the IDF) (number of data ports), wattage</t>
  </si>
  <si>
    <t>User instructions: Equals number of telecom rooms, add to Hotel Details tab</t>
  </si>
  <si>
    <r>
      <t xml:space="preserve">Equals Copper Cable ports divided by 48, with </t>
    </r>
    <r>
      <rPr>
        <b/>
        <sz val="11"/>
        <color theme="1"/>
        <rFont val="Calibri"/>
        <family val="2"/>
        <scheme val="minor"/>
      </rPr>
      <t>a 0.75 multiplier for ports not activated day one</t>
    </r>
    <r>
      <rPr>
        <sz val="11"/>
        <color theme="1"/>
        <rFont val="Calibri"/>
        <family val="2"/>
        <scheme val="minor"/>
      </rPr>
      <t>, rounded up</t>
    </r>
  </si>
  <si>
    <r>
      <t xml:space="preserve">Total cabling ft divided by 1.5. </t>
    </r>
    <r>
      <rPr>
        <b/>
        <sz val="11"/>
        <color theme="1"/>
        <rFont val="Calibri"/>
        <family val="2"/>
        <scheme val="minor"/>
      </rPr>
      <t>Additional needed to calculation is adding in backbone distance.</t>
    </r>
  </si>
  <si>
    <t>Additional needed to calculation is adding in backbone distance.</t>
  </si>
  <si>
    <t>Cabling Distance</t>
  </si>
  <si>
    <r>
      <rPr>
        <b/>
        <sz val="11"/>
        <color theme="1"/>
        <rFont val="Calibri"/>
        <family val="2"/>
        <scheme val="minor"/>
      </rPr>
      <t>'Yes' or 'No' drop down needed.</t>
    </r>
    <r>
      <rPr>
        <sz val="11"/>
        <color theme="1"/>
        <rFont val="Calibri"/>
        <family val="2"/>
        <scheme val="minor"/>
      </rPr>
      <t xml:space="preserve"> If 'Yes' will only need cable footage. If no, user proceeds as below with J-Hook calculations.</t>
    </r>
  </si>
  <si>
    <t>Edge Switches</t>
  </si>
  <si>
    <t>YES</t>
  </si>
  <si>
    <t>YES (default)</t>
  </si>
  <si>
    <t>No (default)</t>
  </si>
  <si>
    <t>Yes (default)</t>
  </si>
  <si>
    <t>Legend</t>
  </si>
  <si>
    <t>User input expected</t>
  </si>
  <si>
    <t>Default (no user input)</t>
  </si>
  <si>
    <t>(note that this should be "1" if there is no true IDF, such as a linen closet)</t>
  </si>
  <si>
    <t>Casino Floor</t>
  </si>
  <si>
    <t>Retail Space</t>
  </si>
  <si>
    <t>Copper cable guage for power</t>
  </si>
  <si>
    <t>20 guage</t>
  </si>
  <si>
    <t>Other Assumptions</t>
  </si>
  <si>
    <t>Assumes POE for phone &amp; AP &amp; ONT</t>
  </si>
  <si>
    <t>Total Port Count</t>
  </si>
  <si>
    <t>number of BOH, restaurants, other rooms divided by 28 (+1 for extra) - 28 is the split ratio</t>
  </si>
  <si>
    <t>ONT Count (guest rooms)</t>
  </si>
  <si>
    <t>ONT Count (Suites)</t>
  </si>
  <si>
    <t>NA</t>
  </si>
  <si>
    <t>Total Cost by Line Item</t>
  </si>
  <si>
    <t>OLT Ethernet Connections to the Core Switch (typically SFP ports)</t>
  </si>
  <si>
    <t>Assumes link aggregation and redundancy</t>
  </si>
  <si>
    <t>Typically only 1 is needed unless you go over 1500 rooms</t>
  </si>
  <si>
    <t>OLT Chassis Count (only for advanced users)</t>
  </si>
  <si>
    <t>Total number of feet of cabling</t>
  </si>
  <si>
    <t>Cost Per Unit ($)</t>
  </si>
  <si>
    <t>Average number of feet for drops (GPON)</t>
  </si>
  <si>
    <t>Total ONT Count (All guest rooms)</t>
  </si>
  <si>
    <t>Conference Areas</t>
  </si>
  <si>
    <t>ONT Count</t>
  </si>
  <si>
    <t>Copper Cabling from ONT to end devices</t>
  </si>
  <si>
    <t>ONT Port size default for back of house areas (only for advanced users)</t>
  </si>
  <si>
    <t>ONT Port size default guest rooms (only for advanced users)</t>
  </si>
  <si>
    <t>ONT Port size default for convention space and meeting rooms (only for advanced users)</t>
  </si>
  <si>
    <t>Typically not needed for conference area deployments (manually enter if necessary)</t>
  </si>
  <si>
    <t>Public Area (Lobby, public space, bar, etc)</t>
  </si>
  <si>
    <t>Assumes one media box per area, ex: one per restaurant, one per pool, etc</t>
  </si>
  <si>
    <t>Electronics (MDF)</t>
  </si>
  <si>
    <t>OLT Line Card Port Default</t>
  </si>
  <si>
    <t>Blacked out due to cost calculations (would double cost counts)</t>
  </si>
  <si>
    <t>Core switch - 1 normally, 2 if redundancy required</t>
  </si>
  <si>
    <t>OLT SFP GPON (some manufacturs include this in their OLT port quotes)</t>
  </si>
  <si>
    <t>OLT Redundancy (management, controllers) - requires a modular OLT chassis to support this</t>
  </si>
  <si>
    <t>default 2 - 10 Gb connections (redundancy or link aggregation)</t>
  </si>
  <si>
    <t>default 2 - (redundancy)</t>
  </si>
  <si>
    <t>Local power or Remote Power - includes composite cabling, installation and electronics</t>
  </si>
  <si>
    <t>Composite Cabling Incremental Cost (20 Guage copper pair cabling w/ fiber optics)</t>
  </si>
  <si>
    <t>Complex Cabling Install Percentage Labor Costs (percentage of equipment costs)</t>
  </si>
  <si>
    <t>Simple Cabling Install Percentage Labor Costs (percentage of equipment costs)</t>
  </si>
  <si>
    <t>Simplicity of Cabling Installations</t>
  </si>
  <si>
    <t>Fiber Installation</t>
  </si>
  <si>
    <t>Conduit &amp; Space Installation</t>
  </si>
  <si>
    <t>Commissioning Labor Costs</t>
  </si>
  <si>
    <t>Copper Cabling Installers</t>
  </si>
  <si>
    <t>Conduit / Space Installers</t>
  </si>
  <si>
    <t>Fiber Strand Counts</t>
  </si>
  <si>
    <t>12, 24, or 48 strand counts</t>
  </si>
  <si>
    <t>number of backbone runs * 16, accounts for redundancy and aggregation</t>
  </si>
  <si>
    <t>Equals number of ports x2; 1 jack (rj45) per 5 minutes; need to account for RJ45 jack costs</t>
  </si>
  <si>
    <t>number of cable terminations / 2</t>
  </si>
  <si>
    <t>equals number of IDFs * 2</t>
  </si>
  <si>
    <t>Public Areas or Misc Tech Categories</t>
  </si>
  <si>
    <t>Port Counts</t>
  </si>
  <si>
    <t>sum of all ports across all hotel areas</t>
  </si>
  <si>
    <t>Manual entry  by user. If required; annualized (typically) - equipment details tab covers this</t>
  </si>
  <si>
    <t>default is one, 2 if for redundancy</t>
  </si>
  <si>
    <t>Costs vary by region, consult local installers or integrators for specifics - final unless agreed different</t>
  </si>
  <si>
    <t>Cost per Unit ($)</t>
  </si>
  <si>
    <t>HIDE THIS COLUMN FOR FINAL Version</t>
  </si>
  <si>
    <t>Power Requirements</t>
  </si>
  <si>
    <t>FILL IN THIS COLUMN</t>
  </si>
  <si>
    <t>Calculation (DO NOT EDIT)</t>
  </si>
  <si>
    <t>User Input Expected</t>
  </si>
  <si>
    <t>Simple</t>
  </si>
  <si>
    <t>Data Center 3</t>
  </si>
  <si>
    <t>Security cameras should be included here</t>
  </si>
  <si>
    <t>Network Drops (include printers and other ancillary equipment)</t>
  </si>
  <si>
    <t>No Information Needed</t>
  </si>
  <si>
    <t>Fill in green shaded cells in this column</t>
  </si>
  <si>
    <t>Total Guest Rooms</t>
  </si>
  <si>
    <t xml:space="preserve">LC or SC, Splice, Push on type connectors </t>
  </si>
  <si>
    <t>Total Labor</t>
  </si>
  <si>
    <t>Total Electronics</t>
  </si>
  <si>
    <t>Total Infrastructure</t>
  </si>
  <si>
    <t>Number of Units</t>
  </si>
  <si>
    <t>Description &amp; Unit of measure</t>
  </si>
  <si>
    <t>Cable cost generally defined by cost/ft</t>
  </si>
  <si>
    <t>Not needed if using j-hooks</t>
  </si>
  <si>
    <t>Not needed if using conduit</t>
  </si>
  <si>
    <t>Number of hours * cost per hour</t>
  </si>
  <si>
    <t xml:space="preserve">Typically used </t>
  </si>
  <si>
    <t>Default Power Draw</t>
  </si>
  <si>
    <t>Default GPON specifics</t>
  </si>
  <si>
    <t>Cabling Cost Defaults</t>
  </si>
  <si>
    <t>User input expected - change as necessary</t>
  </si>
  <si>
    <t>Default Architecture - GPON ONTs per room</t>
  </si>
  <si>
    <t>Default Architecture - GPON ONTs per suite</t>
  </si>
  <si>
    <t>Core Switch Port Counts</t>
  </si>
  <si>
    <t>[1] Gartner Research: Does Passive Optical LAN Have a Future in Your Access Network? March 2018 ID: G00320069</t>
  </si>
  <si>
    <t>Optical line terminal - interface for the GPON network, main aggregation point to ONTs</t>
  </si>
  <si>
    <t>Optical network terminal - converged termination device for GPON network, typically where end computing devices/applications connect</t>
  </si>
  <si>
    <t>Typically not needed, if installed out of customer view (manually enter if necessary)</t>
  </si>
  <si>
    <t>Typically not needed, if installed out of staff view (manually enter if necessary)</t>
  </si>
  <si>
    <t>Remote power solution where power is sourced from an IDF, typically on the same floor</t>
  </si>
  <si>
    <t>Remote power solution where the power is sourced from a centralied location, typically the MDF</t>
  </si>
  <si>
    <t>Uninterruptable power supply</t>
  </si>
  <si>
    <t>Centralized power solution with distributed power components in IDFs throughout the property</t>
  </si>
  <si>
    <t>Termination points for riser and/or horizontal fiber</t>
  </si>
  <si>
    <t>Needed if using composite cabling, a termination point for copper conductors</t>
  </si>
  <si>
    <t>Passive Optical Splitters</t>
  </si>
  <si>
    <t>Splits an optical signal for duplication &amp; distribution over multiple fiber legs (1x32 splits are common)</t>
  </si>
  <si>
    <t>Short fiber cables, used for patching between termination points</t>
  </si>
  <si>
    <t>Protective tube system for electrical cabling</t>
  </si>
  <si>
    <t>Conduit / Cable Trays</t>
  </si>
  <si>
    <t>Copper Cable Terminations</t>
  </si>
  <si>
    <t>RJ-45 Jacks</t>
  </si>
  <si>
    <t>Total Cost by Line Item Per Year</t>
  </si>
  <si>
    <t>ONT Power Draw</t>
  </si>
  <si>
    <t>OLT Power Draw</t>
  </si>
  <si>
    <t>Total Power for Edge Switching</t>
  </si>
  <si>
    <t>Primary connection method for the entire hospitality building</t>
  </si>
  <si>
    <t>Used to connect end user or infrastructure devices in remote areas</t>
  </si>
  <si>
    <t>Faceplates (Wall area outlet (WAO))</t>
  </si>
  <si>
    <t>Covers the network connections and provides in-room connectivity</t>
  </si>
  <si>
    <t>Total Copper Cable Runs</t>
  </si>
  <si>
    <t>Horizontal cabling to end device connection point</t>
  </si>
  <si>
    <t>Yes or No</t>
  </si>
  <si>
    <t>TCO - X years out (OPEX + CAPEX)</t>
  </si>
  <si>
    <t>Number of years</t>
  </si>
  <si>
    <t>Replacements (based on SLA uptimes)</t>
  </si>
  <si>
    <t>SLAs</t>
  </si>
  <si>
    <t>GPON Equipment Uptime</t>
  </si>
  <si>
    <t>Copper Equipment Uptime</t>
  </si>
  <si>
    <t>Support Contract Percentage Defaults</t>
  </si>
  <si>
    <t>GPON</t>
  </si>
  <si>
    <t>ALL GPON Equipment Support and Maintenance Costs - annual costs (includes management costs)</t>
  </si>
  <si>
    <t>Used for calculations</t>
  </si>
  <si>
    <t>HVAC Requirements (power draw, heating, cooling)</t>
  </si>
  <si>
    <t>MDF (if any)</t>
  </si>
  <si>
    <t>Generally a percentage of costs of a GPON solution (for estimation purposes)</t>
  </si>
  <si>
    <t>ONTs generally do not need cooling; OLT only considered here</t>
  </si>
  <si>
    <t>BTUs/KwH - cooling costs per year</t>
  </si>
  <si>
    <t>Energy Costs (HVAC)</t>
  </si>
  <si>
    <t>Maintenance / Support Contracts (not replacements)</t>
  </si>
  <si>
    <t>HVAC Tonnage - Cooling Costs Per Year</t>
  </si>
  <si>
    <t>KwH / Year</t>
  </si>
  <si>
    <t>Battery Backup (UPS) - watts</t>
  </si>
  <si>
    <t>OLT - wattage per OLT port</t>
  </si>
  <si>
    <t>Cost per Unit ($) - KwH</t>
  </si>
  <si>
    <t>Units (watts)</t>
  </si>
  <si>
    <t>Core Switch Watts</t>
  </si>
  <si>
    <t>Total Power &amp; HVAC</t>
  </si>
  <si>
    <t>Units (number of hours)</t>
  </si>
  <si>
    <t>Units - items or total number of feet</t>
  </si>
  <si>
    <t>Units - total devices, or port counts</t>
  </si>
  <si>
    <t>Units - number of items</t>
  </si>
  <si>
    <t>Watts - translated to KwH hour cost</t>
  </si>
  <si>
    <t>MDF (Core Switch)</t>
  </si>
  <si>
    <t>Total Power &amp; HVAC Costs (per year)</t>
  </si>
  <si>
    <t>Fill in items shaded green</t>
  </si>
  <si>
    <t>Verify or fill in missing defaults</t>
  </si>
  <si>
    <t>Fiber to the Room - Other Cost Savings Considerations</t>
  </si>
  <si>
    <t>Legend - data input sections</t>
  </si>
  <si>
    <t>POE is assumed in all calculations - verify that PoE capable infrastructure is accounted for in copper or fiber deployments</t>
  </si>
  <si>
    <t>If you don’t use GPON in a certain area of the hotel, you should zero out the user inputs for those areas (i.e. in a guest room only deployment)</t>
  </si>
  <si>
    <t>Default (no user input expected, but change if neccessary)</t>
  </si>
  <si>
    <t>The calculations, designs and scenarios described in this calculator are estimates, and HTNG does not guarantee the accuracy of the calculations, architectures or costs that may result from usage of this calculator.</t>
  </si>
  <si>
    <t>·       Telecommunication closet (IDFs) can be reduced or even eliminated within a building</t>
  </si>
  <si>
    <r>
      <t xml:space="preserve">2.     </t>
    </r>
    <r>
      <rPr>
        <b/>
        <u/>
        <sz val="20"/>
        <color theme="1"/>
        <rFont val="Calibri"/>
        <family val="2"/>
        <scheme val="minor"/>
      </rPr>
      <t>Converging networks</t>
    </r>
    <r>
      <rPr>
        <sz val="20"/>
        <color theme="1"/>
        <rFont val="Calibri"/>
        <family val="2"/>
        <scheme val="minor"/>
      </rPr>
      <t xml:space="preserve"> over a single fiber-based network can multiple savings.</t>
    </r>
  </si>
  <si>
    <t>·       VLAN segmentation provides strict separation of networks, that in the past, needed to be physically separated</t>
  </si>
  <si>
    <t>·       PON supports analog voice and analog video (via 1550 wavelength) connectivity</t>
  </si>
  <si>
    <r>
      <t xml:space="preserve">3.     </t>
    </r>
    <r>
      <rPr>
        <b/>
        <u/>
        <sz val="20"/>
        <color theme="1"/>
        <rFont val="Calibri"/>
        <family val="2"/>
        <scheme val="minor"/>
      </rPr>
      <t>Space savings</t>
    </r>
    <r>
      <rPr>
        <sz val="20"/>
        <color theme="1"/>
        <rFont val="Calibri"/>
        <family val="2"/>
        <scheme val="minor"/>
      </rPr>
      <t xml:space="preserve"> associated with the fiber cabling, OLT and ONTs can be advantageous.</t>
    </r>
  </si>
  <si>
    <t>·       PON OLTs can provide greater gigabit Ethernet density, in a smaller footprint, in the main data center</t>
  </si>
  <si>
    <t>·       PON ONTs have multiple mounting options that can position them out-of-sight and more importantly, not impact guest or business operations</t>
  </si>
  <si>
    <r>
      <t xml:space="preserve">4.     </t>
    </r>
    <r>
      <rPr>
        <b/>
        <u/>
        <sz val="20"/>
        <color theme="1"/>
        <rFont val="Calibri"/>
        <family val="2"/>
        <scheme val="minor"/>
      </rPr>
      <t>Migration to future speeds and technologies</t>
    </r>
    <r>
      <rPr>
        <sz val="20"/>
        <color theme="1"/>
        <rFont val="Calibri"/>
        <family val="2"/>
        <scheme val="minor"/>
      </rPr>
      <t xml:space="preserve"> is assured by promoting the use of single mode fiber cabling and limiting the use of copper cabling.</t>
    </r>
  </si>
  <si>
    <r>
      <t xml:space="preserve">5.     </t>
    </r>
    <r>
      <rPr>
        <b/>
        <u/>
        <sz val="20"/>
        <color theme="1"/>
        <rFont val="Calibri"/>
        <family val="2"/>
        <scheme val="minor"/>
      </rPr>
      <t>Cable lifespan</t>
    </r>
    <r>
      <rPr>
        <sz val="20"/>
        <color theme="1"/>
        <rFont val="Calibri"/>
        <family val="2"/>
        <scheme val="minor"/>
      </rPr>
      <t xml:space="preserve"> is commonly warrantied by manufactures for 25 years.</t>
    </r>
  </si>
  <si>
    <r>
      <t xml:space="preserve">6.     </t>
    </r>
    <r>
      <rPr>
        <b/>
        <u/>
        <sz val="20"/>
        <color theme="1"/>
        <rFont val="Calibri"/>
        <family val="2"/>
        <scheme val="minor"/>
      </rPr>
      <t>Environmentally hardened</t>
    </r>
    <r>
      <rPr>
        <sz val="20"/>
        <color theme="1"/>
        <rFont val="Calibri"/>
        <family val="2"/>
        <scheme val="minor"/>
      </rPr>
      <t xml:space="preserve"> FTTR PON OLTs and ONTs can be utilized for ubiquitous connectivity both indoors and outdoors.</t>
    </r>
  </si>
  <si>
    <t>·       Outdoor Wi-Fi and security cameras can be connected</t>
  </si>
  <si>
    <t>·       Connectivity to pool areas, recreation and other outdoor amenities can be provided</t>
  </si>
  <si>
    <t>·       Combined with solar powering options opens-up more choices</t>
  </si>
  <si>
    <r>
      <t xml:space="preserve">7.     </t>
    </r>
    <r>
      <rPr>
        <b/>
        <u/>
        <sz val="20"/>
        <color theme="1"/>
        <rFont val="Calibri"/>
        <family val="2"/>
        <scheme val="minor"/>
      </rPr>
      <t>Seaside resorts</t>
    </r>
    <r>
      <rPr>
        <sz val="20"/>
        <color theme="1"/>
        <rFont val="Calibri"/>
        <family val="2"/>
        <scheme val="minor"/>
      </rPr>
      <t xml:space="preserve"> often struggle with high corrosion and lightning issues.</t>
    </r>
  </si>
  <si>
    <t>·       Often waterfront hotels and resorts struggle with high corrosion and lightning hazards</t>
  </si>
  <si>
    <t>·       It behooves hoteliers to minimize electronics and copper cabling at these seaside resorts where thunderstorms are common</t>
  </si>
  <si>
    <t>·       Fiber cabling infrastructure saves space in risers, pathways, telecom rooms and data centers</t>
  </si>
  <si>
    <t>·       This can be of critical importance to hoteliers operating in registered historic buildings</t>
  </si>
  <si>
    <r>
      <t xml:space="preserve">9.     </t>
    </r>
    <r>
      <rPr>
        <b/>
        <u/>
        <sz val="20"/>
        <color theme="1"/>
        <rFont val="Calibri"/>
        <family val="2"/>
        <scheme val="minor"/>
      </rPr>
      <t>Training</t>
    </r>
    <r>
      <rPr>
        <sz val="20"/>
        <color theme="1"/>
        <rFont val="Calibri"/>
        <family val="2"/>
        <scheme val="minor"/>
      </rPr>
      <t xml:space="preserve"> issues exist due to technical labor shortage and skill-set gaps.</t>
    </r>
  </si>
  <si>
    <t>·       POL plan, build and operate training classes are typically only 3½ days long</t>
  </si>
  <si>
    <t>·       Traditional copper-based equipment provider classes are several weeks of training and require expensive re-certification exams</t>
  </si>
  <si>
    <r>
      <t xml:space="preserve">10.  </t>
    </r>
    <r>
      <rPr>
        <b/>
        <u/>
        <sz val="20"/>
        <color theme="1"/>
        <rFont val="Calibri"/>
        <family val="2"/>
        <scheme val="minor"/>
      </rPr>
      <t>Network reliability</t>
    </r>
    <r>
      <rPr>
        <sz val="20"/>
        <color theme="1"/>
        <rFont val="Calibri"/>
        <family val="2"/>
        <scheme val="minor"/>
      </rPr>
      <t xml:space="preserve"> can be improved at a lower cost.</t>
    </r>
  </si>
  <si>
    <t>·       One workgroup Ethernet switch connected to one core Ethernet switch likely has an average annual downtime of more than 5 hours or an uptime network availability of 99.9%</t>
  </si>
  <si>
    <t>·       One ONT connected to one OLT likely has average annual downtime measured at five minutes or an uptime network availability of 99.999%</t>
  </si>
  <si>
    <r>
      <t xml:space="preserve">11.  </t>
    </r>
    <r>
      <rPr>
        <b/>
        <u/>
        <sz val="20"/>
        <color theme="1"/>
        <rFont val="Calibri"/>
        <family val="2"/>
        <scheme val="minor"/>
      </rPr>
      <t>Sustainability “green” contributions</t>
    </r>
    <r>
      <rPr>
        <sz val="20"/>
        <color theme="1"/>
        <rFont val="Calibri"/>
        <family val="2"/>
        <scheme val="minor"/>
      </rPr>
      <t xml:space="preserve"> can be obtained with a fiber-based network design.</t>
    </r>
  </si>
  <si>
    <t>·       POL architecture can reduce the amount of cabling within a building, thus reducing plastics and PVCs within the building</t>
  </si>
  <si>
    <t>Interconnectivity point for cable distribution to end points (typically 
in the IDF or MDF)</t>
  </si>
  <si>
    <t xml:space="preserve">Patch Bays
</t>
  </si>
  <si>
    <t>Implementation Notes:</t>
  </si>
  <si>
    <t>Fill out "Hotel Details" tab - specifically cells highlighted GREEN</t>
  </si>
  <si>
    <t>Fill out the "Equipment Details" tab - note defaults, entering deployment or equipment specific information</t>
  </si>
  <si>
    <t>Fill out the "GPON" or "Copper" tab as appropriate, inputting costs and other information as appropriate</t>
  </si>
  <si>
    <t>Review the "Comparisons" tab to evaluate the TCO of GPON and/or Copper deployments</t>
  </si>
  <si>
    <t>GPON split ratios affect the bandwidth delivered to a device, refer to the GPON calculator and FTTR Design Guide for more information</t>
  </si>
  <si>
    <t>Service Type (limited, full, etc.)</t>
  </si>
  <si>
    <t>Hotel Type (tower, resort, etc.)</t>
  </si>
  <si>
    <t>Campus Environment (number of buildings)</t>
  </si>
  <si>
    <t>Number of Floors</t>
  </si>
  <si>
    <t>(0 if not a campus environment)</t>
  </si>
  <si>
    <t>(campus, tower, resort, conference, casino, mixed use - residence and hotel rooms, time shares, etc.)</t>
  </si>
  <si>
    <t>(select service, full service, etc.)</t>
  </si>
  <si>
    <t>Kitchen Areas (e.g. printers)</t>
  </si>
  <si>
    <t>Lobby (POS terminals, phones, digital signage, etc.)</t>
  </si>
  <si>
    <t>Business Centers (number of drops, printers, computers, etc.)</t>
  </si>
  <si>
    <t>Default Cable Specifics</t>
  </si>
  <si>
    <t>Switches (48 ports) - watts, assumes 30 watts PoE per four ports</t>
  </si>
  <si>
    <t>Average number of feet for drops (Copper)</t>
  </si>
  <si>
    <t>Average number of feet from ONT to end device (phone, AP, etc.)</t>
  </si>
  <si>
    <t>Average number of feet from ONT to end device in meeting rooms (phone, AP, etc.)</t>
  </si>
  <si>
    <t xml:space="preserve">KwH cost </t>
  </si>
  <si>
    <t>Watts per Guest Room (GPON)</t>
  </si>
  <si>
    <t>Split Ratio (Default = 28) - only for advanced users</t>
  </si>
  <si>
    <t>ONT Port size default for public areas (e.g. lobby - only for advanced users)</t>
  </si>
  <si>
    <t>OLT Ports (guest rooms)</t>
  </si>
  <si>
    <t>OLT Ports (public area)</t>
  </si>
  <si>
    <t>OLT Ports (conference areas)</t>
  </si>
  <si>
    <t>OLT Ports (back of house)</t>
  </si>
  <si>
    <t>Number of 10-foot patch cables</t>
  </si>
  <si>
    <t>Number of 10-foot jumper cables</t>
  </si>
  <si>
    <t>Number of 30-foot jumper cables</t>
  </si>
  <si>
    <t>Fiber Panels or Splice Cassettes (includes housing)</t>
  </si>
  <si>
    <t>Fiber Jumpers (MDF, IDF, Guest Rooms, etc.)</t>
  </si>
  <si>
    <t>The place where equipment is stored</t>
  </si>
  <si>
    <t>Only for horizontal fiber</t>
  </si>
  <si>
    <t>Not needed if j-hooks are used</t>
  </si>
  <si>
    <t>Low Voltage Installers (per hour)</t>
  </si>
  <si>
    <t>10 ft Cat 6 Cabling (average cable length) - assumes all Cat cabling is jumper-based</t>
  </si>
  <si>
    <t>Full service hotels will generally have media boxes installed in guest rooms, while select service hotels will generally not (case-by-case deployment)</t>
  </si>
  <si>
    <t>Final fiber run to the room - can be composite cabling to deliver power as well as a data connection</t>
  </si>
  <si>
    <t>MDF --&gt; IDF cabling - typically 12-core single mode cable (SMF)</t>
  </si>
  <si>
    <t>Number of connections from MDF --&gt; IDF, cost/foot</t>
  </si>
  <si>
    <t>Warranty, support, etc. (on an annual basis)</t>
  </si>
  <si>
    <r>
      <t xml:space="preserve">1.     </t>
    </r>
    <r>
      <rPr>
        <b/>
        <u/>
        <sz val="20"/>
        <color theme="1"/>
        <rFont val="Calibri"/>
        <family val="2"/>
        <scheme val="minor"/>
      </rPr>
      <t>Extended connectivity</t>
    </r>
    <r>
      <rPr>
        <sz val="20"/>
        <color theme="1"/>
        <rFont val="Calibri"/>
        <family val="2"/>
        <scheme val="minor"/>
      </rPr>
      <t xml:space="preserve"> across a Passive Optical Network (PON) makes it possible to deliver connectivity 12-18 miles over a passive infrastructure.</t>
    </r>
  </si>
  <si>
    <t>·       PON can support all IP/Ethernet connected devices</t>
  </si>
  <si>
    <t>·       You do not need to have a powered switch or repeater every 300 ft (like for copper), nor do you need to rely on microwave wireless which is subject to weather conditions</t>
  </si>
  <si>
    <t>·       Data centers (MDFs) can even be reduced or eliminated across:</t>
  </si>
  <si>
    <t>·       Wi-Fi Wireless Access Points (WAP) can be connected over PON and Distributed Antenna Systems (DAS) can share fiber cabling bundles, fiber management and bulk powering</t>
  </si>
  <si>
    <r>
      <t xml:space="preserve">8.     </t>
    </r>
    <r>
      <rPr>
        <b/>
        <u/>
        <sz val="20"/>
        <color theme="1"/>
        <rFont val="Calibri"/>
        <family val="2"/>
        <scheme val="minor"/>
      </rPr>
      <t>Historical properties</t>
    </r>
    <r>
      <rPr>
        <sz val="20"/>
        <color theme="1"/>
        <rFont val="Calibri (Body)_x0000_"/>
      </rPr>
      <t xml:space="preserve"> have a</t>
    </r>
    <r>
      <rPr>
        <sz val="20"/>
        <color theme="1"/>
        <rFont val="Calibri"/>
        <family val="2"/>
        <scheme val="minor"/>
      </rPr>
      <t xml:space="preserve"> hard restriction for renovations impacting the walls and ceilings which makes network upgrades difficult.</t>
    </r>
  </si>
  <si>
    <t>·       There are fiber cabling solutions that offer small, nearly invisible fiber and there are other fiber cabling solutions that can be hidden inside the wall and ceiling moldings</t>
  </si>
  <si>
    <t>The purpose of this document is to provide guidance that highlights additional means fiber to the room (FTTR) provides cost savings for hoteliers that are not covered in the FTTR TCO tool. These are considerations that warrant further investigation by hoteliers.</t>
  </si>
  <si>
    <t>·       FTTR is ideal for cabins, cabanas, ranch style properties and cottage style properties</t>
  </si>
  <si>
    <t>·       Smaller size of single mode fiber in the building raisers and horizontal pathways offers advantages such as:</t>
  </si>
  <si>
    <t>Miscellaneous (do not edit)</t>
  </si>
  <si>
    <t>Some Ethernet switches cannot support PoE on all ports - please check with your manufacturer to ensure you have enough switching coverage for your PoE needs.</t>
  </si>
  <si>
    <t>Download the GPON calculator and Fiber to the Room Design guide here: https://www.htng.org/page/technical_specs</t>
  </si>
  <si>
    <t>Please note that users should not double count daisy chained connections (i.e. an IP enabled phone that also distributes IP connectivity to a nearby computer).</t>
  </si>
  <si>
    <t>ONT - watts per room (ONT + PoE devices power requirements per room)</t>
  </si>
  <si>
    <t>Short cables (10 ft or less) between patch bay and switch</t>
  </si>
  <si>
    <t>·       Often when an end-to-end fiber infrastructure is installed using one layer-1 manufacture, a 25 year warranty is possible</t>
  </si>
  <si>
    <t>1 =  1 ONT for 1 suite</t>
  </si>
  <si>
    <t>0.5 = 1 ONT for 2 rooms</t>
  </si>
  <si>
    <t>i.     Sprawling resort style properties with multi buildings (e.g. pools, club houses, etc.)</t>
  </si>
  <si>
    <t>ii.     Multi-brand properties within 12-18 miles distance</t>
  </si>
  <si>
    <t>i.     Less floor coring, therefore less cost, time, firestop. If this is a renovation at an occupied hotel -  this means less dust, noise, vibration, detours, lost revenue and disruption of the guests</t>
  </si>
  <si>
    <t>ii.    Less plastics and PVCs therefore lower smoke-load on the building</t>
  </si>
  <si>
    <t>iii.   Gartner Research calculates fiber cable weight in pathways to be 5% to 7% of that of copper, space savings can be 80% and cable price 60% lower[1]</t>
  </si>
  <si>
    <t>i.     There are PON OLTs on the market that occupy 11 rack-units (19” high) and can support connectivity to 7,000 gigabit Ethernet devices</t>
  </si>
  <si>
    <t>i.     PON ONTs can be mounted in the wall, behind façade, inside furniture, under furniture, in a ceiling box, floor box and in plenum space</t>
  </si>
  <si>
    <t>·       Single mode fiber has no known capacity limitations and its only capacity limits are dictated by today’s technology. Today’s technology has showcased that single mode fiber can transport terabytes of data.</t>
  </si>
  <si>
    <t>·      Today’s PON infrastructure, including single mode fiber, fiber management and passive optical splitters have proven support of 10G and 40G PON technologies. The standards 
bodies for G-PON (2.5G), XGS-PON (10G) and NG-PON (40G) have defined future wavelengths, and appropriate spacing to ensure no future wavelength conflicts.</t>
  </si>
  <si>
    <t>NOTES:</t>
  </si>
  <si>
    <t>Equipment details &amp; assumptions</t>
  </si>
  <si>
    <t>This calculator has been created by the HTNG Fiber to the Room Workgroup, for the purpose of comparing a legacy copper deployment against a modern Gigabit Passive Optical Network (GPON).  Users of this calculator must have an intermediate understanding of network infrastructure.  The calculations, designs and scenarios described in this calculator are estimates, and HTNG does not guarantee the accuracy of the calculations, architectures or other details that may result from usage of this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</si>
</sst>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409]#,##0.00_);\([$$-409]#,##0.00\)"/>
  </numFmts>
  <fonts count="2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1"/>
      <name val="Calibri"/>
      <family val="2"/>
      <scheme val="minor"/>
    </font>
    <font>
      <b/>
      <sz val="10"/>
      <color rgb="FF000000"/>
      <name val="Calibri"/>
      <family val="2"/>
    </font>
    <font>
      <sz val="20"/>
      <color theme="1"/>
      <name val="Calibri"/>
      <family val="2"/>
      <scheme val="minor"/>
    </font>
    <font>
      <b/>
      <u/>
      <sz val="20"/>
      <color theme="1"/>
      <name val="Calibri"/>
      <family val="2"/>
      <scheme val="minor"/>
    </font>
    <font>
      <u/>
      <sz val="20"/>
      <color theme="10"/>
      <name val="Calibri"/>
      <family val="2"/>
      <scheme val="minor"/>
    </font>
    <font>
      <sz val="11"/>
      <color theme="0"/>
      <name val="Calibri"/>
      <family val="2"/>
      <scheme val="minor"/>
    </font>
    <font>
      <b/>
      <sz val="24"/>
      <color theme="1"/>
      <name val="Calibri"/>
      <family val="2"/>
      <scheme val="minor"/>
    </font>
    <font>
      <sz val="22"/>
      <color theme="1"/>
      <name val="Calibri"/>
      <family val="2"/>
      <scheme val="minor"/>
    </font>
    <font>
      <sz val="11"/>
      <color theme="0"/>
      <name val="Calibri (Body)_x0000_"/>
    </font>
    <font>
      <sz val="20"/>
      <color theme="1"/>
      <name val="Calibri (Body)_x0000_"/>
    </font>
    <font>
      <sz val="10.5"/>
      <color theme="1"/>
      <name val="Calibri"/>
      <family val="2"/>
      <scheme val="minor"/>
    </font>
    <font>
      <b/>
      <sz val="20"/>
      <color theme="1"/>
      <name val="Calibri"/>
      <family val="2"/>
      <scheme val="minor"/>
    </font>
    <font>
      <sz val="20"/>
      <color theme="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1"/>
        <bgColor indexed="64"/>
      </patternFill>
    </fill>
    <fill>
      <patternFill patternType="solid">
        <fgColor rgb="FFFF0000"/>
        <bgColor indexed="64"/>
      </patternFill>
    </fill>
    <fill>
      <patternFill patternType="solid">
        <fgColor rgb="FF0072B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indexed="64"/>
      </bottom>
      <diagonal/>
    </border>
    <border>
      <left/>
      <right style="thin">
        <color auto="1"/>
      </right>
      <top/>
      <bottom/>
      <diagonal/>
    </border>
    <border>
      <left/>
      <right style="thin">
        <color indexed="64"/>
      </right>
      <top style="thin">
        <color auto="1"/>
      </top>
      <bottom style="thin">
        <color auto="1"/>
      </bottom>
      <diagonal/>
    </border>
    <border>
      <left/>
      <right style="thin">
        <color auto="1"/>
      </right>
      <top style="thin">
        <color indexed="64"/>
      </top>
      <bottom/>
      <diagonal/>
    </border>
    <border>
      <left style="thin">
        <color indexed="64"/>
      </left>
      <right style="thin">
        <color auto="1"/>
      </right>
      <top/>
      <bottom/>
      <diagonal/>
    </border>
    <border>
      <left/>
      <right/>
      <top style="thin">
        <color indexed="64"/>
      </top>
      <bottom/>
      <diagonal/>
    </border>
    <border>
      <left style="thin">
        <color indexed="64"/>
      </left>
      <right/>
      <top/>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02">
    <xf numFmtId="0" fontId="0" fillId="0" borderId="0" xfId="0"/>
    <xf numFmtId="0" fontId="1" fillId="0" borderId="0" xfId="0" applyFont="1"/>
    <xf numFmtId="0" fontId="0" fillId="0" borderId="0" xfId="0" applyAlignment="1">
      <alignment wrapText="1"/>
    </xf>
    <xf numFmtId="0" fontId="0" fillId="0" borderId="0" xfId="0" applyAlignment="1">
      <alignment vertical="center"/>
    </xf>
    <xf numFmtId="0" fontId="2" fillId="0" borderId="0" xfId="0" applyFont="1"/>
    <xf numFmtId="0" fontId="0" fillId="0" borderId="0" xfId="0" applyFont="1"/>
    <xf numFmtId="0" fontId="0" fillId="2" borderId="0" xfId="0" applyFill="1"/>
    <xf numFmtId="0" fontId="0" fillId="2" borderId="0" xfId="0" applyFont="1" applyFill="1"/>
    <xf numFmtId="0" fontId="0" fillId="0" borderId="0" xfId="0" applyFill="1"/>
    <xf numFmtId="0" fontId="0" fillId="0" borderId="0" xfId="0" applyFont="1" applyFill="1"/>
    <xf numFmtId="0" fontId="3" fillId="0" borderId="0" xfId="0" applyFont="1"/>
    <xf numFmtId="0" fontId="0" fillId="0" borderId="0" xfId="0" quotePrefix="1"/>
    <xf numFmtId="0" fontId="0" fillId="0" borderId="1" xfId="0" applyBorder="1"/>
    <xf numFmtId="0" fontId="0" fillId="4" borderId="1" xfId="0" applyFont="1" applyFill="1" applyBorder="1"/>
    <xf numFmtId="0" fontId="0" fillId="5" borderId="1" xfId="0" applyFont="1" applyFill="1" applyBorder="1"/>
    <xf numFmtId="0" fontId="1" fillId="5" borderId="1" xfId="0" applyFont="1" applyFill="1" applyBorder="1"/>
    <xf numFmtId="0" fontId="0" fillId="0" borderId="1" xfId="0" applyBorder="1" applyAlignment="1">
      <alignment vertical="center"/>
    </xf>
    <xf numFmtId="0" fontId="0" fillId="3" borderId="1" xfId="0" applyFill="1" applyBorder="1" applyAlignment="1">
      <alignment vertical="center"/>
    </xf>
    <xf numFmtId="0" fontId="0" fillId="0" borderId="1" xfId="0" applyFont="1" applyBorder="1"/>
    <xf numFmtId="0" fontId="0" fillId="5" borderId="1" xfId="0" applyFill="1" applyBorder="1"/>
    <xf numFmtId="0" fontId="0" fillId="5" borderId="1" xfId="0" applyFill="1" applyBorder="1" applyAlignment="1">
      <alignment vertical="center"/>
    </xf>
    <xf numFmtId="0" fontId="0" fillId="2" borderId="1" xfId="0" applyFill="1" applyBorder="1"/>
    <xf numFmtId="0" fontId="0" fillId="5" borderId="3" xfId="0" applyFill="1" applyBorder="1"/>
    <xf numFmtId="0" fontId="0" fillId="0" borderId="1" xfId="0" applyFont="1" applyFill="1" applyBorder="1"/>
    <xf numFmtId="0" fontId="0" fillId="2" borderId="1" xfId="0" applyFill="1" applyBorder="1" applyAlignment="1">
      <alignment horizontal="right"/>
    </xf>
    <xf numFmtId="0" fontId="7" fillId="2" borderId="1" xfId="0" applyFont="1" applyFill="1" applyBorder="1"/>
    <xf numFmtId="9" fontId="0" fillId="2" borderId="1" xfId="0" applyNumberFormat="1" applyFill="1" applyBorder="1"/>
    <xf numFmtId="0" fontId="0" fillId="0" borderId="1" xfId="0" applyFill="1" applyBorder="1"/>
    <xf numFmtId="0" fontId="0" fillId="0" borderId="1" xfId="0" applyFont="1" applyBorder="1" applyAlignment="1">
      <alignment horizontal="left"/>
    </xf>
    <xf numFmtId="0" fontId="7" fillId="0" borderId="0" xfId="0" applyFont="1" applyFill="1"/>
    <xf numFmtId="164" fontId="0" fillId="5" borderId="1" xfId="0" applyNumberFormat="1" applyFill="1" applyBorder="1"/>
    <xf numFmtId="164" fontId="0" fillId="5" borderId="1" xfId="0" applyNumberFormat="1" applyFill="1" applyBorder="1" applyAlignment="1">
      <alignment vertical="center"/>
    </xf>
    <xf numFmtId="164" fontId="0" fillId="5" borderId="0" xfId="0" applyNumberFormat="1" applyFill="1" applyBorder="1"/>
    <xf numFmtId="0" fontId="1" fillId="0" borderId="0" xfId="0" applyFont="1" applyAlignment="1">
      <alignment horizontal="left"/>
    </xf>
    <xf numFmtId="0" fontId="0" fillId="0" borderId="1" xfId="0" applyFont="1" applyFill="1" applyBorder="1" applyAlignment="1">
      <alignment horizontal="left"/>
    </xf>
    <xf numFmtId="4" fontId="0" fillId="5" borderId="1" xfId="0" applyNumberFormat="1" applyFont="1" applyFill="1" applyBorder="1"/>
    <xf numFmtId="4" fontId="1" fillId="5" borderId="1" xfId="0" applyNumberFormat="1" applyFont="1" applyFill="1" applyBorder="1"/>
    <xf numFmtId="0" fontId="0" fillId="0" borderId="9" xfId="0" applyBorder="1"/>
    <xf numFmtId="0" fontId="0" fillId="0" borderId="9" xfId="0" applyFill="1" applyBorder="1"/>
    <xf numFmtId="0" fontId="0" fillId="0" borderId="12" xfId="0" applyBorder="1"/>
    <xf numFmtId="0" fontId="0" fillId="9" borderId="3" xfId="0" applyFill="1" applyBorder="1" applyAlignment="1">
      <alignment horizontal="right"/>
    </xf>
    <xf numFmtId="0" fontId="0" fillId="9" borderId="1" xfId="0" applyFill="1" applyBorder="1" applyAlignment="1">
      <alignment horizontal="right"/>
    </xf>
    <xf numFmtId="0" fontId="0" fillId="9" borderId="1" xfId="0" applyFill="1" applyBorder="1"/>
    <xf numFmtId="0" fontId="0" fillId="9" borderId="1" xfId="0" applyFont="1" applyFill="1" applyBorder="1"/>
    <xf numFmtId="0" fontId="0" fillId="8" borderId="1" xfId="0" applyFill="1" applyBorder="1"/>
    <xf numFmtId="0" fontId="0" fillId="8" borderId="4" xfId="0" applyFill="1" applyBorder="1"/>
    <xf numFmtId="0" fontId="0" fillId="8" borderId="2" xfId="0" applyFill="1" applyBorder="1"/>
    <xf numFmtId="0" fontId="0" fillId="8" borderId="5" xfId="0" applyFill="1" applyBorder="1"/>
    <xf numFmtId="0" fontId="0" fillId="8" borderId="6" xfId="0" applyFill="1" applyBorder="1"/>
    <xf numFmtId="0" fontId="0" fillId="4" borderId="1" xfId="0" applyFill="1" applyBorder="1"/>
    <xf numFmtId="0" fontId="0" fillId="4" borderId="0" xfId="0" applyFill="1" applyBorder="1"/>
    <xf numFmtId="0" fontId="6" fillId="4" borderId="1" xfId="0" applyFont="1" applyFill="1" applyBorder="1"/>
    <xf numFmtId="0" fontId="7" fillId="9" borderId="1" xfId="0" applyFont="1" applyFill="1" applyBorder="1"/>
    <xf numFmtId="9" fontId="0" fillId="9" borderId="1" xfId="0" applyNumberFormat="1" applyFill="1" applyBorder="1"/>
    <xf numFmtId="1" fontId="0" fillId="9" borderId="1" xfId="0" applyNumberFormat="1" applyFill="1" applyBorder="1"/>
    <xf numFmtId="164" fontId="0" fillId="9" borderId="1" xfId="0" applyNumberFormat="1" applyFont="1" applyFill="1" applyBorder="1"/>
    <xf numFmtId="164" fontId="1" fillId="9" borderId="1" xfId="0" applyNumberFormat="1" applyFont="1" applyFill="1" applyBorder="1"/>
    <xf numFmtId="164" fontId="0" fillId="9" borderId="1" xfId="0" applyNumberFormat="1" applyFill="1" applyBorder="1"/>
    <xf numFmtId="164" fontId="1" fillId="9" borderId="2" xfId="0" applyNumberFormat="1" applyFont="1" applyFill="1" applyBorder="1"/>
    <xf numFmtId="164" fontId="1" fillId="9" borderId="3" xfId="0" applyNumberFormat="1" applyFont="1" applyFill="1" applyBorder="1"/>
    <xf numFmtId="164" fontId="0" fillId="9" borderId="3" xfId="0" applyNumberFormat="1" applyFont="1" applyFill="1" applyBorder="1"/>
    <xf numFmtId="7" fontId="0" fillId="9" borderId="1" xfId="0" applyNumberFormat="1" applyFont="1" applyFill="1" applyBorder="1"/>
    <xf numFmtId="164" fontId="7" fillId="9" borderId="1" xfId="0" applyNumberFormat="1" applyFont="1" applyFill="1" applyBorder="1"/>
    <xf numFmtId="1" fontId="0" fillId="9" borderId="1" xfId="0" applyNumberFormat="1" applyFont="1" applyFill="1" applyBorder="1"/>
    <xf numFmtId="0" fontId="0" fillId="8" borderId="1" xfId="0" applyFont="1" applyFill="1" applyBorder="1"/>
    <xf numFmtId="164" fontId="1" fillId="8" borderId="1" xfId="0" applyNumberFormat="1" applyFont="1" applyFill="1" applyBorder="1"/>
    <xf numFmtId="164" fontId="0" fillId="8" borderId="1" xfId="0" applyNumberFormat="1" applyFill="1" applyBorder="1"/>
    <xf numFmtId="0" fontId="0" fillId="8" borderId="2" xfId="0" applyFont="1" applyFill="1" applyBorder="1"/>
    <xf numFmtId="164" fontId="1" fillId="8" borderId="2" xfId="0" applyNumberFormat="1" applyFont="1" applyFill="1" applyBorder="1"/>
    <xf numFmtId="0" fontId="0" fillId="8" borderId="3" xfId="0" applyFont="1" applyFill="1" applyBorder="1"/>
    <xf numFmtId="164" fontId="1" fillId="8" borderId="3" xfId="0" applyNumberFormat="1" applyFont="1" applyFill="1" applyBorder="1"/>
    <xf numFmtId="0" fontId="7" fillId="8" borderId="1" xfId="0" applyFont="1" applyFill="1" applyBorder="1"/>
    <xf numFmtId="165" fontId="0" fillId="8" borderId="1" xfId="0" applyNumberFormat="1" applyFont="1" applyFill="1" applyBorder="1"/>
    <xf numFmtId="0" fontId="1" fillId="8" borderId="1" xfId="0" applyFont="1" applyFill="1" applyBorder="1"/>
    <xf numFmtId="164" fontId="3" fillId="8" borderId="1" xfId="0" applyNumberFormat="1" applyFont="1" applyFill="1" applyBorder="1"/>
    <xf numFmtId="165" fontId="3" fillId="8" borderId="1" xfId="0" applyNumberFormat="1" applyFont="1" applyFill="1" applyBorder="1"/>
    <xf numFmtId="0" fontId="0" fillId="8" borderId="0" xfId="0" applyFont="1" applyFill="1" applyBorder="1"/>
    <xf numFmtId="164" fontId="0" fillId="8" borderId="1" xfId="0" applyNumberFormat="1" applyFont="1" applyFill="1" applyBorder="1"/>
    <xf numFmtId="0" fontId="0" fillId="4" borderId="14" xfId="0" applyFill="1" applyBorder="1"/>
    <xf numFmtId="0" fontId="0" fillId="0" borderId="14" xfId="0" applyBorder="1"/>
    <xf numFmtId="164" fontId="0" fillId="6" borderId="1" xfId="0" applyNumberFormat="1" applyFill="1" applyBorder="1"/>
    <xf numFmtId="0" fontId="0" fillId="2" borderId="1" xfId="0" applyFill="1" applyBorder="1" applyAlignment="1">
      <alignment horizontal="center"/>
    </xf>
    <xf numFmtId="0" fontId="2" fillId="0" borderId="5" xfId="0" applyFont="1" applyBorder="1"/>
    <xf numFmtId="0" fontId="2" fillId="0" borderId="13" xfId="0" applyFont="1" applyBorder="1"/>
    <xf numFmtId="0" fontId="0" fillId="0" borderId="11" xfId="0" applyBorder="1"/>
    <xf numFmtId="0" fontId="0" fillId="5" borderId="9" xfId="0" applyFill="1" applyBorder="1"/>
    <xf numFmtId="0" fontId="0" fillId="2" borderId="10" xfId="0" applyFill="1" applyBorder="1"/>
    <xf numFmtId="0" fontId="0" fillId="2" borderId="10" xfId="0" applyFill="1" applyBorder="1" applyAlignment="1">
      <alignment horizontal="center"/>
    </xf>
    <xf numFmtId="164" fontId="0" fillId="2" borderId="1" xfId="0" applyNumberFormat="1" applyFill="1" applyBorder="1" applyAlignment="1">
      <alignment horizontal="center"/>
    </xf>
    <xf numFmtId="0" fontId="0" fillId="2" borderId="1" xfId="0" applyFill="1" applyBorder="1" applyAlignment="1"/>
    <xf numFmtId="0" fontId="0" fillId="2" borderId="1" xfId="0" applyFill="1" applyBorder="1" applyAlignment="1">
      <alignment horizontal="center" vertical="center"/>
    </xf>
    <xf numFmtId="0" fontId="0" fillId="2" borderId="1" xfId="0" applyFont="1" applyFill="1" applyBorder="1" applyAlignment="1">
      <alignment horizontal="center"/>
    </xf>
    <xf numFmtId="0" fontId="0" fillId="8" borderId="1" xfId="0" applyFill="1" applyBorder="1" applyAlignment="1">
      <alignment horizontal="center"/>
    </xf>
    <xf numFmtId="0" fontId="0" fillId="3" borderId="1" xfId="0" applyFill="1" applyBorder="1" applyAlignment="1">
      <alignment horizontal="center"/>
    </xf>
    <xf numFmtId="0" fontId="0" fillId="9" borderId="1" xfId="0" applyFill="1" applyBorder="1" applyAlignment="1">
      <alignment horizontal="center"/>
    </xf>
    <xf numFmtId="0" fontId="12" fillId="5" borderId="1" xfId="0" applyFont="1" applyFill="1" applyBorder="1" applyAlignment="1">
      <alignment horizontal="center"/>
    </xf>
    <xf numFmtId="0" fontId="0" fillId="0" borderId="1" xfId="0" applyBorder="1" applyAlignment="1">
      <alignment wrapText="1"/>
    </xf>
    <xf numFmtId="0" fontId="0" fillId="6" borderId="1" xfId="0" applyFill="1" applyBorder="1" applyAlignment="1">
      <alignment horizontal="center"/>
    </xf>
    <xf numFmtId="0" fontId="1" fillId="0" borderId="5" xfId="0" applyFont="1" applyBorder="1" applyAlignment="1">
      <alignment horizontal="left"/>
    </xf>
    <xf numFmtId="0" fontId="1" fillId="0" borderId="13" xfId="0" applyFont="1" applyBorder="1"/>
    <xf numFmtId="0" fontId="0" fillId="0" borderId="14" xfId="0" applyFont="1" applyBorder="1" applyAlignment="1">
      <alignment horizontal="left"/>
    </xf>
    <xf numFmtId="0" fontId="0" fillId="0" borderId="14" xfId="0" applyBorder="1" applyAlignment="1">
      <alignment horizontal="left"/>
    </xf>
    <xf numFmtId="0" fontId="0" fillId="4" borderId="1" xfId="0" applyFill="1" applyBorder="1" applyAlignment="1">
      <alignment horizontal="center"/>
    </xf>
    <xf numFmtId="0" fontId="0" fillId="2" borderId="4" xfId="0" applyFont="1" applyFill="1" applyBorder="1" applyAlignment="1">
      <alignment horizontal="center"/>
    </xf>
    <xf numFmtId="0" fontId="0" fillId="6" borderId="11" xfId="0" applyFont="1" applyFill="1" applyBorder="1" applyAlignment="1">
      <alignment horizontal="center"/>
    </xf>
    <xf numFmtId="4" fontId="0" fillId="2" borderId="1" xfId="0" applyNumberFormat="1" applyFont="1" applyFill="1" applyBorder="1" applyAlignment="1">
      <alignment horizontal="center"/>
    </xf>
    <xf numFmtId="164" fontId="0" fillId="2" borderId="10" xfId="0" applyNumberFormat="1" applyFill="1" applyBorder="1"/>
    <xf numFmtId="164" fontId="0" fillId="9" borderId="2" xfId="0" applyNumberFormat="1" applyFill="1" applyBorder="1"/>
    <xf numFmtId="0" fontId="0" fillId="2" borderId="4" xfId="0" applyFill="1" applyBorder="1" applyAlignment="1">
      <alignment horizontal="center"/>
    </xf>
    <xf numFmtId="0" fontId="0" fillId="0" borderId="5" xfId="0" applyBorder="1"/>
    <xf numFmtId="0" fontId="0" fillId="0" borderId="1" xfId="0" applyBorder="1" applyAlignment="1">
      <alignment horizontal="center"/>
    </xf>
    <xf numFmtId="0" fontId="0" fillId="0" borderId="14" xfId="0" applyFill="1" applyBorder="1"/>
    <xf numFmtId="0" fontId="0" fillId="9" borderId="2" xfId="0" applyFill="1" applyBorder="1"/>
    <xf numFmtId="0" fontId="0" fillId="0" borderId="9" xfId="0" applyFill="1" applyBorder="1" applyAlignment="1">
      <alignment horizontal="right"/>
    </xf>
    <xf numFmtId="0" fontId="7" fillId="0" borderId="9" xfId="0" applyFont="1" applyFill="1" applyBorder="1"/>
    <xf numFmtId="0" fontId="0" fillId="0" borderId="6" xfId="0" applyFill="1" applyBorder="1" applyAlignment="1">
      <alignment horizontal="right"/>
    </xf>
    <xf numFmtId="0" fontId="0" fillId="8" borderId="0" xfId="0" applyFill="1" applyBorder="1"/>
    <xf numFmtId="0" fontId="6" fillId="4" borderId="0" xfId="0" applyFont="1" applyFill="1" applyBorder="1"/>
    <xf numFmtId="0" fontId="15" fillId="5" borderId="1" xfId="0" applyFont="1" applyFill="1" applyBorder="1" applyAlignment="1">
      <alignment horizontal="center"/>
    </xf>
    <xf numFmtId="0" fontId="0" fillId="9" borderId="3" xfId="0" applyFill="1" applyBorder="1"/>
    <xf numFmtId="0" fontId="0" fillId="0" borderId="2" xfId="0" applyBorder="1" applyAlignment="1">
      <alignment horizontal="center"/>
    </xf>
    <xf numFmtId="0" fontId="0" fillId="9" borderId="12" xfId="0" applyFill="1" applyBorder="1"/>
    <xf numFmtId="0" fontId="0" fillId="5" borderId="12" xfId="0" applyFill="1" applyBorder="1"/>
    <xf numFmtId="0" fontId="0" fillId="5" borderId="3" xfId="0" applyFont="1" applyFill="1" applyBorder="1"/>
    <xf numFmtId="0" fontId="0" fillId="0" borderId="1" xfId="0" applyBorder="1" applyAlignment="1">
      <alignment horizontal="left"/>
    </xf>
    <xf numFmtId="0" fontId="0" fillId="4" borderId="1" xfId="0" applyFill="1" applyBorder="1" applyAlignment="1">
      <alignment horizontal="right" vertical="top"/>
    </xf>
    <xf numFmtId="0" fontId="0" fillId="4" borderId="11" xfId="0" applyFill="1" applyBorder="1" applyAlignment="1">
      <alignment horizontal="center"/>
    </xf>
    <xf numFmtId="0" fontId="0" fillId="10" borderId="0" xfId="0" applyFill="1"/>
    <xf numFmtId="0" fontId="1" fillId="10" borderId="0" xfId="0" applyFont="1" applyFill="1"/>
    <xf numFmtId="0" fontId="0" fillId="10" borderId="0" xfId="0" applyFont="1" applyFill="1"/>
    <xf numFmtId="0" fontId="2" fillId="10" borderId="0" xfId="0" applyFont="1" applyFill="1"/>
    <xf numFmtId="0" fontId="1" fillId="10" borderId="0" xfId="0" applyFont="1" applyFill="1" applyAlignment="1">
      <alignment horizontal="left"/>
    </xf>
    <xf numFmtId="9" fontId="0" fillId="10" borderId="0" xfId="0" applyNumberFormat="1" applyFill="1"/>
    <xf numFmtId="0" fontId="0" fillId="10" borderId="0" xfId="0" applyFill="1" applyBorder="1"/>
    <xf numFmtId="0" fontId="0" fillId="10" borderId="0" xfId="0" applyFill="1" applyAlignment="1">
      <alignment horizontal="right"/>
    </xf>
    <xf numFmtId="0" fontId="7" fillId="10" borderId="0" xfId="0" applyFont="1" applyFill="1" applyBorder="1" applyAlignment="1"/>
    <xf numFmtId="0" fontId="0" fillId="10" borderId="7" xfId="0" applyFill="1" applyBorder="1"/>
    <xf numFmtId="0" fontId="0" fillId="10" borderId="9" xfId="0" applyFill="1" applyBorder="1"/>
    <xf numFmtId="164" fontId="0" fillId="10" borderId="9" xfId="0" applyNumberFormat="1" applyFill="1" applyBorder="1"/>
    <xf numFmtId="0" fontId="0" fillId="10" borderId="8" xfId="0" applyFill="1" applyBorder="1"/>
    <xf numFmtId="0" fontId="0" fillId="10" borderId="14" xfId="0" applyFill="1" applyBorder="1" applyAlignment="1">
      <alignment horizontal="left"/>
    </xf>
    <xf numFmtId="0" fontId="0" fillId="10" borderId="6" xfId="0" applyFill="1" applyBorder="1" applyAlignment="1">
      <alignment horizontal="left"/>
    </xf>
    <xf numFmtId="0" fontId="0" fillId="10" borderId="14" xfId="0" applyFont="1" applyFill="1" applyBorder="1" applyAlignment="1">
      <alignment horizontal="right"/>
    </xf>
    <xf numFmtId="0" fontId="0" fillId="10" borderId="0" xfId="0" applyFont="1" applyFill="1" applyBorder="1" applyAlignment="1">
      <alignment horizontal="right"/>
    </xf>
    <xf numFmtId="0" fontId="2" fillId="10" borderId="14" xfId="0" applyFont="1" applyFill="1" applyBorder="1" applyAlignment="1">
      <alignment horizontal="right"/>
    </xf>
    <xf numFmtId="0" fontId="0" fillId="10" borderId="6" xfId="0" applyFill="1" applyBorder="1"/>
    <xf numFmtId="0" fontId="7" fillId="10" borderId="0" xfId="0" applyFont="1" applyFill="1"/>
    <xf numFmtId="0" fontId="0" fillId="10" borderId="14" xfId="0" applyFill="1" applyBorder="1"/>
    <xf numFmtId="164" fontId="0" fillId="10" borderId="0" xfId="0" applyNumberFormat="1" applyFill="1" applyBorder="1"/>
    <xf numFmtId="0" fontId="0" fillId="10" borderId="0" xfId="0" applyFill="1" applyAlignment="1">
      <alignment wrapText="1"/>
    </xf>
    <xf numFmtId="0" fontId="0" fillId="2" borderId="4" xfId="0" applyFill="1" applyBorder="1" applyAlignment="1">
      <alignment horizontal="left"/>
    </xf>
    <xf numFmtId="0" fontId="17" fillId="0" borderId="1" xfId="0" applyFont="1" applyBorder="1" applyAlignment="1">
      <alignment horizontal="left"/>
    </xf>
    <xf numFmtId="0" fontId="0" fillId="6" borderId="13" xfId="0" applyFont="1" applyFill="1" applyBorder="1" applyAlignment="1">
      <alignment horizontal="center"/>
    </xf>
    <xf numFmtId="0" fontId="0" fillId="2" borderId="4" xfId="0" applyFill="1" applyBorder="1" applyAlignment="1">
      <alignment horizontal="right"/>
    </xf>
    <xf numFmtId="0" fontId="3" fillId="2" borderId="1" xfId="0" applyFont="1" applyFill="1" applyBorder="1" applyAlignment="1">
      <alignment horizontal="right"/>
    </xf>
    <xf numFmtId="0" fontId="0" fillId="0" borderId="0" xfId="0" applyAlignment="1"/>
    <xf numFmtId="0" fontId="0" fillId="10" borderId="0" xfId="0" applyFill="1" applyAlignment="1"/>
    <xf numFmtId="0" fontId="14" fillId="10" borderId="0" xfId="0" applyFont="1" applyFill="1" applyBorder="1" applyAlignment="1">
      <alignment horizontal="center" vertical="center"/>
    </xf>
    <xf numFmtId="0" fontId="9" fillId="10" borderId="0" xfId="0" applyFont="1" applyFill="1" applyBorder="1" applyAlignment="1">
      <alignment horizontal="left" vertical="center"/>
    </xf>
    <xf numFmtId="0" fontId="0" fillId="0" borderId="0" xfId="0" applyBorder="1"/>
    <xf numFmtId="0" fontId="0" fillId="0" borderId="0" xfId="0" applyBorder="1" applyAlignment="1"/>
    <xf numFmtId="0" fontId="0" fillId="10" borderId="0" xfId="0" applyFill="1" applyBorder="1" applyAlignment="1"/>
    <xf numFmtId="0" fontId="9" fillId="10" borderId="0" xfId="0" applyFont="1" applyFill="1" applyBorder="1" applyAlignment="1"/>
    <xf numFmtId="0" fontId="11" fillId="10" borderId="0" xfId="5" applyFont="1" applyFill="1" applyBorder="1" applyAlignment="1">
      <alignment vertical="center"/>
    </xf>
    <xf numFmtId="0" fontId="9" fillId="10" borderId="0" xfId="0" applyFont="1" applyFill="1" applyBorder="1" applyAlignment="1">
      <alignment horizontal="left" vertical="center" wrapText="1"/>
    </xf>
    <xf numFmtId="0" fontId="18" fillId="10" borderId="0" xfId="0" applyFont="1" applyFill="1" applyBorder="1" applyAlignment="1"/>
    <xf numFmtId="0" fontId="18" fillId="2" borderId="1" xfId="0" applyFont="1" applyFill="1" applyBorder="1"/>
    <xf numFmtId="0" fontId="9" fillId="8" borderId="1" xfId="0" applyFont="1" applyFill="1" applyBorder="1" applyAlignment="1">
      <alignment horizontal="left"/>
    </xf>
    <xf numFmtId="0" fontId="9" fillId="4" borderId="1" xfId="0" applyFont="1" applyFill="1" applyBorder="1" applyAlignment="1">
      <alignment horizontal="left"/>
    </xf>
    <xf numFmtId="0" fontId="9" fillId="9" borderId="1" xfId="0" applyFont="1" applyFill="1" applyBorder="1" applyAlignment="1">
      <alignment horizontal="left"/>
    </xf>
    <xf numFmtId="0" fontId="19" fillId="5" borderId="1" xfId="0" applyFont="1" applyFill="1" applyBorder="1" applyAlignment="1">
      <alignment horizontal="left"/>
    </xf>
    <xf numFmtId="0" fontId="9" fillId="0" borderId="3" xfId="0" applyFont="1" applyBorder="1"/>
    <xf numFmtId="0" fontId="9" fillId="9" borderId="1" xfId="0" applyFont="1" applyFill="1" applyBorder="1"/>
    <xf numFmtId="0" fontId="9" fillId="0" borderId="1" xfId="0" applyFont="1" applyBorder="1"/>
    <xf numFmtId="0" fontId="9" fillId="0" borderId="1" xfId="0" applyFont="1" applyFill="1" applyBorder="1"/>
    <xf numFmtId="0" fontId="9" fillId="9" borderId="1" xfId="0" applyFont="1" applyFill="1" applyBorder="1" applyAlignment="1">
      <alignment wrapText="1"/>
    </xf>
    <xf numFmtId="0" fontId="14" fillId="9" borderId="1" xfId="0" applyFont="1" applyFill="1" applyBorder="1" applyAlignment="1">
      <alignment horizontal="center" vertical="center" wrapText="1"/>
    </xf>
    <xf numFmtId="0" fontId="1" fillId="0" borderId="13" xfId="0" applyFont="1" applyBorder="1" applyAlignment="1">
      <alignment wrapText="1"/>
    </xf>
    <xf numFmtId="0" fontId="0" fillId="2" borderId="10" xfId="0" applyFont="1" applyFill="1" applyBorder="1" applyAlignment="1">
      <alignment horizontal="center" wrapText="1"/>
    </xf>
    <xf numFmtId="0" fontId="0" fillId="0" borderId="1" xfId="0" applyFont="1" applyFill="1" applyBorder="1" applyAlignment="1">
      <alignment wrapText="1"/>
    </xf>
    <xf numFmtId="0" fontId="0" fillId="2" borderId="1" xfId="0" applyFont="1" applyFill="1" applyBorder="1" applyAlignment="1">
      <alignment horizontal="center" wrapText="1"/>
    </xf>
    <xf numFmtId="0" fontId="0" fillId="0" borderId="1" xfId="0" applyFont="1" applyBorder="1" applyAlignment="1">
      <alignment wrapText="1"/>
    </xf>
    <xf numFmtId="0" fontId="0" fillId="0" borderId="1" xfId="0" applyFont="1" applyFill="1" applyBorder="1" applyAlignment="1">
      <alignment horizontal="left" wrapText="1"/>
    </xf>
    <xf numFmtId="0" fontId="0" fillId="10" borderId="0" xfId="0" applyFill="1" applyBorder="1" applyAlignment="1">
      <alignment wrapText="1"/>
    </xf>
    <xf numFmtId="0" fontId="7" fillId="10" borderId="0" xfId="0" applyFont="1" applyFill="1" applyBorder="1" applyAlignment="1">
      <alignment wrapText="1"/>
    </xf>
    <xf numFmtId="0" fontId="0" fillId="10" borderId="7" xfId="0" applyFill="1" applyBorder="1" applyAlignment="1">
      <alignment wrapText="1"/>
    </xf>
    <xf numFmtId="0" fontId="1" fillId="10" borderId="0" xfId="0" applyFont="1" applyFill="1" applyAlignment="1">
      <alignment wrapText="1"/>
    </xf>
    <xf numFmtId="0" fontId="1" fillId="0" borderId="0" xfId="0" applyFont="1" applyAlignment="1">
      <alignment wrapText="1"/>
    </xf>
    <xf numFmtId="0" fontId="0" fillId="7" borderId="2" xfId="0" applyFill="1" applyBorder="1"/>
    <xf numFmtId="0" fontId="0" fillId="7" borderId="12" xfId="0" applyFill="1" applyBorder="1"/>
    <xf numFmtId="0" fontId="0" fillId="10" borderId="0" xfId="0" applyFill="1" applyAlignment="1">
      <alignment horizontal="left"/>
    </xf>
    <xf numFmtId="0" fontId="0" fillId="9" borderId="5" xfId="0" applyFill="1" applyBorder="1" applyAlignment="1">
      <alignment vertical="center" wrapText="1"/>
    </xf>
    <xf numFmtId="0" fontId="0" fillId="9" borderId="13" xfId="0" applyFill="1" applyBorder="1" applyAlignment="1">
      <alignment vertical="center" wrapText="1"/>
    </xf>
    <xf numFmtId="0" fontId="0" fillId="9" borderId="11" xfId="0" applyFill="1" applyBorder="1" applyAlignment="1">
      <alignment vertical="center" wrapText="1"/>
    </xf>
    <xf numFmtId="0" fontId="0" fillId="9" borderId="6" xfId="0" applyFill="1" applyBorder="1" applyAlignment="1">
      <alignment vertical="center" wrapText="1"/>
    </xf>
    <xf numFmtId="0" fontId="0" fillId="9" borderId="7" xfId="0" applyFill="1" applyBorder="1" applyAlignment="1">
      <alignment vertical="center" wrapText="1"/>
    </xf>
    <xf numFmtId="0" fontId="0" fillId="9" borderId="8" xfId="0" applyFill="1" applyBorder="1" applyAlignment="1">
      <alignment vertical="center" wrapText="1"/>
    </xf>
    <xf numFmtId="0" fontId="9" fillId="10" borderId="0" xfId="0" applyFont="1" applyFill="1" applyBorder="1" applyAlignment="1">
      <alignment horizontal="left" vertical="center" wrapText="1"/>
    </xf>
    <xf numFmtId="0" fontId="9" fillId="10" borderId="0" xfId="0" applyFont="1" applyFill="1" applyBorder="1" applyAlignment="1">
      <alignment horizontal="left" vertical="center"/>
    </xf>
    <xf numFmtId="0" fontId="9" fillId="10" borderId="0" xfId="0" applyFont="1" applyFill="1" applyBorder="1" applyAlignment="1">
      <alignment horizontal="left" vertical="top" wrapText="1"/>
    </xf>
    <xf numFmtId="0" fontId="14" fillId="9" borderId="0" xfId="0" applyFont="1" applyFill="1" applyBorder="1" applyAlignment="1">
      <alignment horizontal="center" vertical="center" wrapText="1"/>
    </xf>
    <xf numFmtId="0" fontId="13" fillId="2" borderId="0" xfId="0" applyFont="1" applyFill="1" applyBorder="1" applyAlignment="1">
      <alignment horizontal="center" vertical="center"/>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0"/>
  <tableStyles count="0" defaultTableStyle="TableStyleMedium2" defaultPivotStyle="PivotStyleLight16"/>
  <colors>
    <mruColors>
      <color rgb="FF0072B3"/>
      <color rgb="FF5AA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6174679</xdr:colOff>
      <xdr:row>2</xdr:row>
      <xdr:rowOff>142875</xdr:rowOff>
    </xdr:from>
    <xdr:to>
      <xdr:col>0</xdr:col>
      <xdr:colOff>9326484</xdr:colOff>
      <xdr:row>12</xdr:row>
      <xdr:rowOff>57151</xdr:rowOff>
    </xdr:to>
    <xdr:pic>
      <xdr:nvPicPr>
        <xdr:cNvPr id="8" name="Picture 7">
          <a:extLst>
            <a:ext uri="{FF2B5EF4-FFF2-40B4-BE49-F238E27FC236}">
              <a16:creationId xmlns:a16="http://schemas.microsoft.com/office/drawing/2014/main" id="{F7200746-B264-2940-8532-4E9DB98E5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4679" y="523875"/>
          <a:ext cx="3151805" cy="18192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hyperlink" Target="applewebdata://46D81CE9-9AC4-4358-A5A5-F64161154CB8/" TargetMode="External"/><Relationship Id="rId1" Type="http://schemas.openxmlformats.org/officeDocument/2006/relationships/hyperlink" Target="applewebdata://46D81CE9-9AC4-4358-A5A5-F64161154CB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78"/>
  <sheetViews>
    <sheetView tabSelected="1" zoomScale="70" zoomScaleNormal="70" workbookViewId="0">
      <selection activeCell="A17" sqref="A17"/>
    </sheetView>
  </sheetViews>
  <sheetFormatPr baseColWidth="10" defaultColWidth="11.5" defaultRowHeight="15"/>
  <cols>
    <col min="1" max="1" width="231.1640625" customWidth="1"/>
    <col min="2" max="2" width="10.83203125" style="127" customWidth="1"/>
    <col min="3" max="3" width="7.83203125" style="127" customWidth="1"/>
    <col min="4" max="12" width="10.83203125" style="127"/>
    <col min="13" max="13" width="12.83203125" style="127" customWidth="1"/>
    <col min="14" max="43" width="10.83203125" style="127"/>
  </cols>
  <sheetData>
    <row r="1" spans="1:1">
      <c r="A1" s="188"/>
    </row>
    <row r="2" spans="1:1">
      <c r="A2" s="189"/>
    </row>
    <row r="3" spans="1:1">
      <c r="A3" s="189"/>
    </row>
    <row r="4" spans="1:1">
      <c r="A4" s="189"/>
    </row>
    <row r="5" spans="1:1">
      <c r="A5" s="189"/>
    </row>
    <row r="6" spans="1:1">
      <c r="A6" s="189"/>
    </row>
    <row r="7" spans="1:1">
      <c r="A7" s="189"/>
    </row>
    <row r="8" spans="1:1">
      <c r="A8" s="189"/>
    </row>
    <row r="9" spans="1:1">
      <c r="A9" s="189"/>
    </row>
    <row r="10" spans="1:1">
      <c r="A10" s="189"/>
    </row>
    <row r="11" spans="1:1">
      <c r="A11" s="189"/>
    </row>
    <row r="12" spans="1:1">
      <c r="A12" s="189"/>
    </row>
    <row r="13" spans="1:1">
      <c r="A13" s="189"/>
    </row>
    <row r="14" spans="1:1">
      <c r="A14" s="189"/>
    </row>
    <row r="15" spans="1:1">
      <c r="A15" s="189"/>
    </row>
    <row r="16" spans="1:1" hidden="1">
      <c r="A16" s="39"/>
    </row>
    <row r="17" spans="1:1" ht="159.75" customHeight="1">
      <c r="A17" s="176" t="s">
        <v>378</v>
      </c>
    </row>
    <row r="18" spans="1:1" ht="35.25" customHeight="1">
      <c r="A18" s="39"/>
    </row>
    <row r="19" spans="1:1" ht="26">
      <c r="A19" s="166" t="s">
        <v>271</v>
      </c>
    </row>
    <row r="20" spans="1:1" ht="26">
      <c r="A20" s="167" t="s">
        <v>180</v>
      </c>
    </row>
    <row r="21" spans="1:1" ht="26">
      <c r="A21" s="168" t="s">
        <v>274</v>
      </c>
    </row>
    <row r="22" spans="1:1" ht="26">
      <c r="A22" s="169" t="s">
        <v>181</v>
      </c>
    </row>
    <row r="23" spans="1:1" ht="38.25" customHeight="1">
      <c r="A23" s="170" t="s">
        <v>186</v>
      </c>
    </row>
    <row r="24" spans="1:1" ht="35.25" customHeight="1">
      <c r="A24" s="171"/>
    </row>
    <row r="25" spans="1:1" ht="26">
      <c r="A25" s="166" t="s">
        <v>13</v>
      </c>
    </row>
    <row r="26" spans="1:1" ht="26">
      <c r="A26" s="172" t="s">
        <v>305</v>
      </c>
    </row>
    <row r="27" spans="1:1" ht="26">
      <c r="A27" s="172" t="s">
        <v>306</v>
      </c>
    </row>
    <row r="28" spans="1:1" ht="26">
      <c r="A28" s="172" t="s">
        <v>307</v>
      </c>
    </row>
    <row r="29" spans="1:1" ht="26">
      <c r="A29" s="172" t="s">
        <v>308</v>
      </c>
    </row>
    <row r="30" spans="1:1" ht="26">
      <c r="A30" s="173"/>
    </row>
    <row r="31" spans="1:1" ht="26">
      <c r="A31" s="166" t="s">
        <v>377</v>
      </c>
    </row>
    <row r="32" spans="1:1" ht="26">
      <c r="A32" s="172" t="s">
        <v>272</v>
      </c>
    </row>
    <row r="33" spans="1:1" ht="26">
      <c r="A33" s="172" t="s">
        <v>273</v>
      </c>
    </row>
    <row r="34" spans="1:1" ht="26">
      <c r="A34" s="172" t="s">
        <v>309</v>
      </c>
    </row>
    <row r="35" spans="1:1" ht="26">
      <c r="A35" s="172" t="s">
        <v>360</v>
      </c>
    </row>
    <row r="36" spans="1:1" ht="26">
      <c r="A36" s="174"/>
    </row>
    <row r="37" spans="1:1" ht="26">
      <c r="A37" s="166" t="s">
        <v>304</v>
      </c>
    </row>
    <row r="38" spans="1:1" ht="52">
      <c r="A38" s="175" t="s">
        <v>275</v>
      </c>
    </row>
    <row r="39" spans="1:1" ht="52">
      <c r="A39" s="175" t="s">
        <v>359</v>
      </c>
    </row>
    <row r="40" spans="1:1" s="127" customFormat="1"/>
    <row r="41" spans="1:1" s="127" customFormat="1"/>
    <row r="42" spans="1:1" s="127" customFormat="1"/>
    <row r="43" spans="1:1" s="127" customFormat="1"/>
    <row r="44" spans="1:1" s="127" customFormat="1"/>
    <row r="45" spans="1:1" s="127" customFormat="1"/>
    <row r="46" spans="1:1" s="127" customFormat="1"/>
    <row r="47" spans="1:1" s="127" customFormat="1"/>
    <row r="48" spans="1:1" s="127" customFormat="1"/>
    <row r="49" s="127" customFormat="1"/>
    <row r="50" s="127" customFormat="1"/>
    <row r="51" s="127" customFormat="1"/>
    <row r="52" s="127" customFormat="1"/>
    <row r="53" s="127" customFormat="1"/>
    <row r="54" s="127" customFormat="1"/>
    <row r="55" s="127" customFormat="1"/>
    <row r="56" s="127" customFormat="1"/>
    <row r="57" s="127" customFormat="1"/>
    <row r="58" s="127" customFormat="1"/>
    <row r="59" s="127" customFormat="1"/>
    <row r="60" s="127" customFormat="1"/>
    <row r="61" s="127" customFormat="1"/>
    <row r="62" s="127" customFormat="1"/>
    <row r="63" s="127" customFormat="1"/>
    <row r="64" s="127" customFormat="1"/>
    <row r="65" s="127" customFormat="1"/>
    <row r="66" s="127" customFormat="1"/>
    <row r="67" s="127" customFormat="1"/>
    <row r="68" s="127" customFormat="1"/>
    <row r="69" s="127" customFormat="1"/>
    <row r="70" s="127" customFormat="1"/>
    <row r="71" s="127" customFormat="1"/>
    <row r="72" s="127" customFormat="1"/>
    <row r="73" s="127" customFormat="1"/>
    <row r="74" s="127" customFormat="1"/>
    <row r="75" s="127" customFormat="1"/>
    <row r="76" s="127" customFormat="1"/>
    <row r="77" s="127" customFormat="1"/>
    <row r="78" s="127" customFormat="1"/>
    <row r="79" s="127" customFormat="1"/>
    <row r="80" s="127" customFormat="1"/>
    <row r="81" s="127" customFormat="1"/>
    <row r="82" s="127" customFormat="1"/>
    <row r="83" s="127" customFormat="1"/>
    <row r="84" s="127" customFormat="1"/>
    <row r="85" s="127" customFormat="1"/>
    <row r="86" s="127" customFormat="1"/>
    <row r="87" s="127" customFormat="1"/>
    <row r="88" s="127" customFormat="1"/>
    <row r="89" s="127" customFormat="1"/>
    <row r="90" s="127" customFormat="1"/>
    <row r="91" s="127" customFormat="1"/>
    <row r="92" s="127" customFormat="1"/>
    <row r="93" s="127" customFormat="1"/>
    <row r="94" s="127" customFormat="1"/>
    <row r="95" s="127" customFormat="1"/>
    <row r="96" s="127" customFormat="1"/>
    <row r="97" s="127" customFormat="1"/>
    <row r="98" s="127" customFormat="1"/>
    <row r="99" s="127" customFormat="1"/>
    <row r="100" s="127" customFormat="1"/>
    <row r="101" s="127" customFormat="1"/>
    <row r="102" s="127" customFormat="1"/>
    <row r="103" s="127" customFormat="1"/>
    <row r="104" s="127" customFormat="1"/>
    <row r="105" s="127" customFormat="1"/>
    <row r="106" s="127" customFormat="1"/>
    <row r="107" s="127" customFormat="1"/>
    <row r="108" s="127" customFormat="1"/>
    <row r="109" s="127" customFormat="1"/>
    <row r="110" s="127" customFormat="1"/>
    <row r="111" s="127" customFormat="1"/>
    <row r="112" s="127" customFormat="1"/>
    <row r="113" s="127" customFormat="1"/>
    <row r="114" s="127" customFormat="1"/>
    <row r="115" s="127" customFormat="1"/>
    <row r="116" s="127" customFormat="1"/>
    <row r="117" s="127" customFormat="1"/>
    <row r="118" s="127" customFormat="1"/>
    <row r="119" s="127" customFormat="1"/>
    <row r="120" s="127" customFormat="1"/>
    <row r="121" s="127" customFormat="1"/>
    <row r="122" s="127" customFormat="1"/>
    <row r="123" s="127" customFormat="1"/>
    <row r="124" s="127" customFormat="1"/>
    <row r="125" s="127" customFormat="1"/>
    <row r="126" s="127" customFormat="1"/>
    <row r="127" s="127" customFormat="1"/>
    <row r="128" s="127" customFormat="1"/>
    <row r="129" s="127" customFormat="1"/>
    <row r="130" s="127" customFormat="1"/>
    <row r="131" s="127" customFormat="1"/>
    <row r="132" s="127" customFormat="1"/>
    <row r="133" s="127" customFormat="1"/>
    <row r="134" s="127" customFormat="1"/>
    <row r="135" s="127" customFormat="1"/>
    <row r="136" s="127" customFormat="1"/>
    <row r="137" s="127" customFormat="1"/>
    <row r="138" s="127" customFormat="1"/>
    <row r="139" s="127" customFormat="1"/>
    <row r="140" s="127" customFormat="1"/>
    <row r="141" s="127" customFormat="1"/>
    <row r="142" s="127" customFormat="1"/>
    <row r="143" s="127" customFormat="1"/>
    <row r="144" s="127" customFormat="1"/>
    <row r="145" s="127" customFormat="1"/>
    <row r="146" s="127" customFormat="1"/>
    <row r="147" s="127" customFormat="1"/>
    <row r="148" s="127" customFormat="1"/>
    <row r="149" s="127" customFormat="1"/>
    <row r="150" s="127" customFormat="1"/>
    <row r="151" s="127" customFormat="1"/>
    <row r="152" s="127" customFormat="1"/>
    <row r="153" s="127" customFormat="1"/>
    <row r="154" s="127" customFormat="1"/>
    <row r="155" s="127" customFormat="1"/>
    <row r="156" s="127" customFormat="1"/>
    <row r="157" s="127" customFormat="1"/>
    <row r="158" s="127" customFormat="1"/>
    <row r="159" s="127" customFormat="1"/>
    <row r="160" s="127" customFormat="1"/>
    <row r="161" s="127" customFormat="1"/>
    <row r="162" s="127" customFormat="1"/>
    <row r="163" s="127" customFormat="1"/>
    <row r="164" s="127" customFormat="1"/>
    <row r="165" s="127" customFormat="1"/>
    <row r="166" s="127" customFormat="1"/>
    <row r="167" s="127" customFormat="1"/>
    <row r="168" s="127" customFormat="1"/>
    <row r="169" s="127" customFormat="1"/>
    <row r="170" s="127" customFormat="1"/>
    <row r="171" s="127" customFormat="1"/>
    <row r="172" s="127" customFormat="1"/>
    <row r="173" s="127" customFormat="1"/>
    <row r="174" s="127" customFormat="1"/>
    <row r="175" s="127" customFormat="1"/>
    <row r="176" s="127" customFormat="1"/>
    <row r="177" s="127" customFormat="1"/>
    <row r="178" s="127" customFormat="1"/>
  </sheetData>
  <mergeCells count="1">
    <mergeCell ref="A1: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86"/>
  <sheetViews>
    <sheetView zoomScaleNormal="100" workbookViewId="0"/>
  </sheetViews>
  <sheetFormatPr baseColWidth="10" defaultColWidth="8.83203125" defaultRowHeight="15"/>
  <cols>
    <col min="1" max="1" width="56.33203125" bestFit="1" customWidth="1"/>
    <col min="2" max="2" width="16.83203125" customWidth="1"/>
    <col min="3" max="3" width="18.1640625" customWidth="1"/>
    <col min="4" max="4" width="26.83203125" bestFit="1" customWidth="1"/>
    <col min="5" max="5" width="18.5" customWidth="1"/>
    <col min="6" max="6" width="26.83203125" bestFit="1" customWidth="1"/>
    <col min="7" max="7" width="37.83203125" customWidth="1"/>
    <col min="8" max="8" width="26.6640625" customWidth="1"/>
    <col min="9" max="9" width="16.83203125" bestFit="1" customWidth="1"/>
    <col min="10" max="10" width="16.83203125" customWidth="1"/>
    <col min="11" max="11" width="46.6640625" bestFit="1" customWidth="1"/>
    <col min="12" max="18" width="8.83203125" style="127"/>
    <col min="19" max="19" width="8.83203125" style="8"/>
    <col min="20" max="34" width="8.83203125" style="127"/>
  </cols>
  <sheetData>
    <row r="1" spans="1:34">
      <c r="A1" s="127"/>
      <c r="B1" s="127"/>
      <c r="C1" s="127"/>
      <c r="D1" s="127"/>
      <c r="E1" s="127"/>
      <c r="F1" s="127"/>
      <c r="G1" s="127"/>
      <c r="I1" s="127"/>
      <c r="J1" s="127"/>
      <c r="K1" s="127"/>
      <c r="S1" s="127"/>
    </row>
    <row r="2" spans="1:34">
      <c r="A2" s="127"/>
      <c r="B2" s="120" t="s">
        <v>10</v>
      </c>
      <c r="C2" s="127"/>
      <c r="D2" s="127"/>
      <c r="E2" s="127"/>
      <c r="F2" s="127"/>
      <c r="G2" s="127"/>
      <c r="H2" s="81" t="s">
        <v>113</v>
      </c>
      <c r="I2" s="127"/>
      <c r="J2" s="127"/>
      <c r="K2" s="127"/>
      <c r="S2" s="127"/>
    </row>
    <row r="3" spans="1:34">
      <c r="A3" s="108" t="s">
        <v>1</v>
      </c>
      <c r="B3" s="87"/>
      <c r="C3" s="127"/>
      <c r="D3" s="127"/>
      <c r="E3" s="127"/>
      <c r="F3" s="127"/>
      <c r="G3" s="127"/>
      <c r="H3" s="92" t="s">
        <v>180</v>
      </c>
      <c r="I3" s="127"/>
      <c r="J3" s="127"/>
      <c r="K3" s="127"/>
      <c r="S3" s="127"/>
    </row>
    <row r="4" spans="1:34">
      <c r="A4" s="101" t="s">
        <v>310</v>
      </c>
      <c r="B4" s="40"/>
      <c r="C4" s="127" t="s">
        <v>316</v>
      </c>
      <c r="D4" s="127"/>
      <c r="E4" s="127"/>
      <c r="F4" s="127"/>
      <c r="G4" s="127"/>
      <c r="H4" s="93" t="s">
        <v>115</v>
      </c>
      <c r="I4" s="127"/>
      <c r="J4" s="127"/>
      <c r="K4" s="127"/>
      <c r="S4" s="127"/>
    </row>
    <row r="5" spans="1:34">
      <c r="A5" s="101" t="s">
        <v>311</v>
      </c>
      <c r="B5" s="41"/>
      <c r="C5" s="127" t="s">
        <v>315</v>
      </c>
      <c r="D5" s="127"/>
      <c r="E5" s="127"/>
      <c r="F5" s="127"/>
      <c r="G5" s="127"/>
      <c r="H5" s="94" t="s">
        <v>181</v>
      </c>
      <c r="I5" s="127"/>
      <c r="J5" s="127"/>
      <c r="K5" s="127"/>
      <c r="S5" s="127"/>
    </row>
    <row r="6" spans="1:34">
      <c r="A6" s="101" t="s">
        <v>312</v>
      </c>
      <c r="B6" s="42"/>
      <c r="C6" s="127" t="s">
        <v>314</v>
      </c>
      <c r="D6" s="127"/>
      <c r="E6" s="127"/>
      <c r="F6" s="127"/>
      <c r="G6" s="127"/>
      <c r="H6" s="118" t="s">
        <v>186</v>
      </c>
      <c r="I6" s="127"/>
      <c r="J6" s="127"/>
      <c r="K6" s="127"/>
      <c r="S6" s="127"/>
    </row>
    <row r="7" spans="1:34">
      <c r="A7" s="101" t="s">
        <v>313</v>
      </c>
      <c r="B7" s="42"/>
      <c r="C7" s="127"/>
      <c r="D7" s="127"/>
      <c r="E7" s="127"/>
      <c r="F7" s="127"/>
      <c r="G7" s="127"/>
      <c r="H7" s="127"/>
      <c r="I7" s="127"/>
      <c r="J7" s="127"/>
      <c r="K7" s="127"/>
      <c r="S7" s="127"/>
    </row>
    <row r="8" spans="1:34">
      <c r="A8" s="101" t="s">
        <v>78</v>
      </c>
      <c r="B8" s="112"/>
      <c r="C8" s="127" t="s">
        <v>116</v>
      </c>
      <c r="D8" s="127"/>
      <c r="E8" s="127"/>
      <c r="F8" s="127"/>
      <c r="G8" s="97" t="s">
        <v>184</v>
      </c>
      <c r="H8" s="127"/>
      <c r="I8" s="127"/>
      <c r="J8" s="127"/>
      <c r="K8" s="127"/>
      <c r="S8" s="127"/>
    </row>
    <row r="9" spans="1:34" s="6" customFormat="1">
      <c r="A9" s="108" t="s">
        <v>4</v>
      </c>
      <c r="B9" s="87"/>
      <c r="C9" s="87" t="s">
        <v>11</v>
      </c>
      <c r="D9" s="81" t="s">
        <v>65</v>
      </c>
      <c r="E9" s="81" t="s">
        <v>12</v>
      </c>
      <c r="F9" s="81" t="s">
        <v>65</v>
      </c>
      <c r="G9" s="81" t="s">
        <v>63</v>
      </c>
      <c r="H9" s="81" t="s">
        <v>65</v>
      </c>
      <c r="I9" s="81" t="s">
        <v>64</v>
      </c>
      <c r="J9" s="81" t="s">
        <v>123</v>
      </c>
      <c r="K9" s="126" t="s">
        <v>358</v>
      </c>
      <c r="L9" s="127"/>
      <c r="M9" s="127"/>
      <c r="N9" s="127"/>
      <c r="O9" s="127"/>
      <c r="P9" s="127"/>
      <c r="Q9" s="127"/>
      <c r="R9" s="127"/>
      <c r="S9" s="127"/>
      <c r="T9" s="127"/>
      <c r="U9" s="127"/>
      <c r="V9" s="127"/>
      <c r="W9" s="127"/>
      <c r="X9" s="127"/>
      <c r="Y9" s="127"/>
      <c r="Z9" s="127"/>
      <c r="AA9" s="127"/>
      <c r="AB9" s="127"/>
      <c r="AC9" s="127"/>
      <c r="AD9" s="127"/>
      <c r="AE9" s="127"/>
      <c r="AF9" s="127"/>
      <c r="AG9" s="127"/>
      <c r="AH9" s="127"/>
    </row>
    <row r="10" spans="1:34">
      <c r="A10" s="124" t="s">
        <v>5</v>
      </c>
      <c r="B10" s="119"/>
      <c r="C10" s="43"/>
      <c r="D10" s="49" t="s">
        <v>109</v>
      </c>
      <c r="E10" s="42"/>
      <c r="F10" s="49" t="s">
        <v>110</v>
      </c>
      <c r="G10" s="42">
        <v>0</v>
      </c>
      <c r="H10" s="49" t="s">
        <v>111</v>
      </c>
      <c r="I10" s="44">
        <f>SUM(C10:G10)</f>
        <v>0</v>
      </c>
      <c r="J10" s="45">
        <f>NumberHotelRooms*PortsPerGuestRoom</f>
        <v>0</v>
      </c>
      <c r="K10" s="49"/>
      <c r="L10" s="133"/>
      <c r="S10" s="127"/>
    </row>
    <row r="11" spans="1:34">
      <c r="A11" s="124" t="s">
        <v>6</v>
      </c>
      <c r="B11" s="112"/>
      <c r="C11" s="42"/>
      <c r="D11" s="49" t="s">
        <v>109</v>
      </c>
      <c r="E11" s="42"/>
      <c r="F11" s="49" t="s">
        <v>110</v>
      </c>
      <c r="G11" s="42">
        <v>0</v>
      </c>
      <c r="H11" s="49" t="s">
        <v>111</v>
      </c>
      <c r="I11" s="44">
        <f>SUM(C11:G11)</f>
        <v>0</v>
      </c>
      <c r="J11" s="45">
        <f>NumberHotelSuites*PortsPerSuite</f>
        <v>0</v>
      </c>
      <c r="K11" s="49"/>
      <c r="L11" s="133"/>
      <c r="S11" s="127"/>
    </row>
    <row r="12" spans="1:34" s="6" customFormat="1">
      <c r="A12" s="108" t="s">
        <v>2</v>
      </c>
      <c r="B12" s="86"/>
      <c r="C12" s="87" t="s">
        <v>11</v>
      </c>
      <c r="D12" s="81" t="s">
        <v>65</v>
      </c>
      <c r="E12" s="81" t="s">
        <v>12</v>
      </c>
      <c r="F12" s="81" t="s">
        <v>65</v>
      </c>
      <c r="G12" s="81" t="s">
        <v>63</v>
      </c>
      <c r="H12" s="81" t="s">
        <v>65</v>
      </c>
      <c r="I12" s="81" t="s">
        <v>64</v>
      </c>
      <c r="J12" s="81" t="s">
        <v>123</v>
      </c>
      <c r="K12" s="49"/>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row>
    <row r="13" spans="1:34">
      <c r="A13" s="124" t="s">
        <v>7</v>
      </c>
      <c r="B13" s="121"/>
      <c r="C13" s="42"/>
      <c r="D13" s="49" t="s">
        <v>109</v>
      </c>
      <c r="E13" s="42"/>
      <c r="F13" s="50" t="s">
        <v>110</v>
      </c>
      <c r="G13" s="42">
        <v>0</v>
      </c>
      <c r="H13" s="50" t="s">
        <v>111</v>
      </c>
      <c r="I13" s="116">
        <f>C13+E13+G13</f>
        <v>0</v>
      </c>
      <c r="J13" s="116">
        <f>NumberMeetingRooms*I13</f>
        <v>0</v>
      </c>
      <c r="K13" s="49"/>
      <c r="S13" s="127"/>
    </row>
    <row r="14" spans="1:34" s="6" customFormat="1">
      <c r="A14" s="108" t="s">
        <v>170</v>
      </c>
      <c r="B14" s="87"/>
      <c r="C14" s="87" t="s">
        <v>11</v>
      </c>
      <c r="D14" s="81" t="s">
        <v>65</v>
      </c>
      <c r="E14" s="81" t="s">
        <v>12</v>
      </c>
      <c r="F14" s="81" t="s">
        <v>65</v>
      </c>
      <c r="G14" s="81" t="s">
        <v>63</v>
      </c>
      <c r="H14" s="81" t="s">
        <v>65</v>
      </c>
      <c r="I14" s="81" t="s">
        <v>64</v>
      </c>
      <c r="J14" s="81" t="s">
        <v>123</v>
      </c>
      <c r="K14" s="49"/>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row>
    <row r="15" spans="1:34">
      <c r="A15" s="124" t="s">
        <v>8</v>
      </c>
      <c r="B15" s="119"/>
      <c r="C15" s="42"/>
      <c r="D15" s="49" t="s">
        <v>109</v>
      </c>
      <c r="E15" s="42"/>
      <c r="F15" s="49" t="s">
        <v>110</v>
      </c>
      <c r="G15" s="42"/>
      <c r="H15" s="49" t="s">
        <v>111</v>
      </c>
      <c r="I15" s="44">
        <f>C15+E15+G15</f>
        <v>0</v>
      </c>
      <c r="J15" s="45">
        <f>I15*B15</f>
        <v>0</v>
      </c>
      <c r="K15" s="49"/>
      <c r="S15" s="127"/>
    </row>
    <row r="16" spans="1:34">
      <c r="A16" s="124" t="s">
        <v>317</v>
      </c>
      <c r="B16" s="42"/>
      <c r="C16" s="42"/>
      <c r="D16" s="49" t="s">
        <v>109</v>
      </c>
      <c r="E16" s="42"/>
      <c r="F16" s="49" t="s">
        <v>110</v>
      </c>
      <c r="G16" s="42"/>
      <c r="H16" s="49" t="s">
        <v>111</v>
      </c>
      <c r="I16" s="44">
        <f t="shared" ref="I16:I31" si="0">C16+E16+G16</f>
        <v>0</v>
      </c>
      <c r="J16" s="45">
        <f t="shared" ref="J16:J31" si="1">I16*B16</f>
        <v>0</v>
      </c>
      <c r="K16" s="49"/>
      <c r="S16" s="127"/>
    </row>
    <row r="17" spans="1:34">
      <c r="A17" s="124" t="s">
        <v>54</v>
      </c>
      <c r="B17" s="42"/>
      <c r="C17" s="42"/>
      <c r="D17" s="49" t="s">
        <v>109</v>
      </c>
      <c r="E17" s="42"/>
      <c r="F17" s="49" t="s">
        <v>110</v>
      </c>
      <c r="G17" s="42"/>
      <c r="H17" s="49" t="s">
        <v>111</v>
      </c>
      <c r="I17" s="44">
        <f t="shared" si="0"/>
        <v>0</v>
      </c>
      <c r="J17" s="45">
        <f t="shared" si="1"/>
        <v>0</v>
      </c>
      <c r="K17" s="49"/>
      <c r="S17" s="127"/>
    </row>
    <row r="18" spans="1:34">
      <c r="A18" s="124" t="s">
        <v>53</v>
      </c>
      <c r="B18" s="19">
        <v>0</v>
      </c>
      <c r="C18" s="42"/>
      <c r="D18" s="49" t="s">
        <v>109</v>
      </c>
      <c r="E18" s="42"/>
      <c r="F18" s="49" t="s">
        <v>110</v>
      </c>
      <c r="G18" s="42"/>
      <c r="H18" s="49" t="s">
        <v>111</v>
      </c>
      <c r="I18" s="44">
        <f t="shared" si="0"/>
        <v>0</v>
      </c>
      <c r="J18" s="45">
        <f>I18*1</f>
        <v>0</v>
      </c>
      <c r="K18" s="49"/>
      <c r="S18" s="127"/>
    </row>
    <row r="19" spans="1:34">
      <c r="A19" s="124" t="s">
        <v>9</v>
      </c>
      <c r="B19" s="42"/>
      <c r="C19" s="42"/>
      <c r="D19" s="49" t="s">
        <v>109</v>
      </c>
      <c r="E19" s="42"/>
      <c r="F19" s="49" t="s">
        <v>110</v>
      </c>
      <c r="G19" s="42"/>
      <c r="H19" s="49" t="s">
        <v>111</v>
      </c>
      <c r="I19" s="44">
        <f t="shared" si="0"/>
        <v>0</v>
      </c>
      <c r="J19" s="45">
        <f t="shared" si="1"/>
        <v>0</v>
      </c>
      <c r="K19" s="49"/>
      <c r="S19" s="127"/>
    </row>
    <row r="20" spans="1:34">
      <c r="A20" s="124" t="s">
        <v>318</v>
      </c>
      <c r="B20" s="42"/>
      <c r="C20" s="42"/>
      <c r="D20" s="49" t="s">
        <v>109</v>
      </c>
      <c r="E20" s="42"/>
      <c r="F20" s="49" t="s">
        <v>110</v>
      </c>
      <c r="G20" s="42"/>
      <c r="H20" s="49" t="s">
        <v>111</v>
      </c>
      <c r="I20" s="44">
        <f t="shared" si="0"/>
        <v>0</v>
      </c>
      <c r="J20" s="45">
        <f t="shared" si="1"/>
        <v>0</v>
      </c>
      <c r="K20" s="49"/>
      <c r="S20" s="127"/>
    </row>
    <row r="21" spans="1:34">
      <c r="A21" s="124" t="s">
        <v>33</v>
      </c>
      <c r="B21" s="42"/>
      <c r="C21" s="42"/>
      <c r="D21" s="49" t="s">
        <v>109</v>
      </c>
      <c r="E21" s="42"/>
      <c r="F21" s="49" t="s">
        <v>110</v>
      </c>
      <c r="G21" s="42"/>
      <c r="H21" s="49" t="s">
        <v>111</v>
      </c>
      <c r="I21" s="44">
        <f t="shared" si="0"/>
        <v>0</v>
      </c>
      <c r="J21" s="45">
        <f t="shared" si="1"/>
        <v>0</v>
      </c>
      <c r="K21" s="49"/>
      <c r="S21" s="127"/>
    </row>
    <row r="22" spans="1:34">
      <c r="A22" s="151" t="s">
        <v>319</v>
      </c>
      <c r="B22" s="42"/>
      <c r="C22" s="42"/>
      <c r="D22" s="49" t="s">
        <v>109</v>
      </c>
      <c r="E22" s="42"/>
      <c r="F22" s="49" t="s">
        <v>110</v>
      </c>
      <c r="G22" s="42"/>
      <c r="H22" s="49" t="s">
        <v>111</v>
      </c>
      <c r="I22" s="44">
        <f t="shared" si="0"/>
        <v>0</v>
      </c>
      <c r="J22" s="45">
        <f t="shared" si="1"/>
        <v>0</v>
      </c>
      <c r="K22" s="49"/>
      <c r="S22" s="127"/>
    </row>
    <row r="23" spans="1:34">
      <c r="A23" s="124" t="s">
        <v>34</v>
      </c>
      <c r="B23" s="42"/>
      <c r="C23" s="42"/>
      <c r="D23" s="49" t="s">
        <v>109</v>
      </c>
      <c r="E23" s="42"/>
      <c r="F23" s="49" t="s">
        <v>110</v>
      </c>
      <c r="G23" s="42"/>
      <c r="H23" s="49" t="s">
        <v>111</v>
      </c>
      <c r="I23" s="44">
        <f t="shared" si="0"/>
        <v>0</v>
      </c>
      <c r="J23" s="45">
        <f t="shared" si="1"/>
        <v>0</v>
      </c>
      <c r="K23" s="49"/>
      <c r="S23" s="127"/>
    </row>
    <row r="24" spans="1:34">
      <c r="A24" s="124" t="s">
        <v>117</v>
      </c>
      <c r="B24" s="42"/>
      <c r="C24" s="42"/>
      <c r="D24" s="49" t="s">
        <v>109</v>
      </c>
      <c r="E24" s="42"/>
      <c r="F24" s="49" t="s">
        <v>110</v>
      </c>
      <c r="G24" s="42"/>
      <c r="H24" s="49" t="s">
        <v>111</v>
      </c>
      <c r="I24" s="44">
        <f t="shared" si="0"/>
        <v>0</v>
      </c>
      <c r="J24" s="45">
        <f t="shared" si="1"/>
        <v>0</v>
      </c>
      <c r="K24" s="49"/>
      <c r="S24" s="127"/>
    </row>
    <row r="25" spans="1:34">
      <c r="A25" s="101" t="s">
        <v>118</v>
      </c>
      <c r="B25" s="112"/>
      <c r="C25" s="42"/>
      <c r="D25" s="49" t="s">
        <v>109</v>
      </c>
      <c r="E25" s="42"/>
      <c r="F25" s="49" t="s">
        <v>110</v>
      </c>
      <c r="G25" s="42"/>
      <c r="H25" s="49" t="s">
        <v>111</v>
      </c>
      <c r="I25" s="46">
        <f t="shared" si="0"/>
        <v>0</v>
      </c>
      <c r="J25" s="47">
        <f t="shared" si="1"/>
        <v>0</v>
      </c>
      <c r="K25" s="49">
        <f>SUM(J15:J25)</f>
        <v>0</v>
      </c>
      <c r="S25" s="127"/>
    </row>
    <row r="26" spans="1:34" s="6" customFormat="1">
      <c r="A26" s="108" t="s">
        <v>3</v>
      </c>
      <c r="B26" s="86"/>
      <c r="C26" s="87" t="s">
        <v>11</v>
      </c>
      <c r="D26" s="81" t="s">
        <v>65</v>
      </c>
      <c r="E26" s="81" t="s">
        <v>12</v>
      </c>
      <c r="F26" s="81" t="s">
        <v>65</v>
      </c>
      <c r="G26" s="81" t="s">
        <v>63</v>
      </c>
      <c r="H26" s="81" t="s">
        <v>65</v>
      </c>
      <c r="I26" s="81" t="s">
        <v>64</v>
      </c>
      <c r="J26" s="81" t="s">
        <v>123</v>
      </c>
      <c r="K26" s="49"/>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row>
    <row r="27" spans="1:34">
      <c r="A27" s="124" t="s">
        <v>185</v>
      </c>
      <c r="B27" s="122">
        <v>1</v>
      </c>
      <c r="C27" s="42"/>
      <c r="D27" s="49" t="s">
        <v>109</v>
      </c>
      <c r="E27" s="42"/>
      <c r="F27" s="117" t="s">
        <v>110</v>
      </c>
      <c r="G27" s="42"/>
      <c r="H27" s="50" t="s">
        <v>111</v>
      </c>
      <c r="I27" s="22">
        <f t="shared" si="0"/>
        <v>0</v>
      </c>
      <c r="J27" s="48">
        <f t="shared" si="1"/>
        <v>0</v>
      </c>
      <c r="K27" s="49"/>
      <c r="S27" s="127"/>
    </row>
    <row r="28" spans="1:34" s="6" customFormat="1">
      <c r="A28" s="150" t="s">
        <v>60</v>
      </c>
      <c r="B28" s="87"/>
      <c r="C28" s="87" t="s">
        <v>11</v>
      </c>
      <c r="D28" s="81" t="s">
        <v>65</v>
      </c>
      <c r="E28" s="81" t="s">
        <v>12</v>
      </c>
      <c r="F28" s="81" t="s">
        <v>65</v>
      </c>
      <c r="G28" s="81" t="s">
        <v>63</v>
      </c>
      <c r="H28" s="81" t="s">
        <v>65</v>
      </c>
      <c r="I28" s="81" t="s">
        <v>64</v>
      </c>
      <c r="J28" s="81" t="s">
        <v>123</v>
      </c>
      <c r="K28" s="49"/>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4">
      <c r="A29" s="124" t="s">
        <v>61</v>
      </c>
      <c r="B29" s="123">
        <v>1</v>
      </c>
      <c r="C29" s="42">
        <v>0</v>
      </c>
      <c r="D29" s="49" t="s">
        <v>109</v>
      </c>
      <c r="E29" s="42">
        <v>0</v>
      </c>
      <c r="F29" s="51" t="s">
        <v>112</v>
      </c>
      <c r="G29" s="42">
        <v>0</v>
      </c>
      <c r="H29" s="49" t="s">
        <v>111</v>
      </c>
      <c r="I29" s="44">
        <f t="shared" si="0"/>
        <v>0</v>
      </c>
      <c r="J29" s="45">
        <f t="shared" si="1"/>
        <v>0</v>
      </c>
      <c r="K29" s="49"/>
      <c r="S29" s="127"/>
    </row>
    <row r="30" spans="1:34">
      <c r="A30" s="124" t="s">
        <v>62</v>
      </c>
      <c r="B30" s="14">
        <v>0</v>
      </c>
      <c r="C30" s="42">
        <v>0</v>
      </c>
      <c r="D30" s="49" t="s">
        <v>109</v>
      </c>
      <c r="E30" s="42">
        <v>0</v>
      </c>
      <c r="F30" s="51" t="s">
        <v>112</v>
      </c>
      <c r="G30" s="42">
        <v>0</v>
      </c>
      <c r="H30" s="49" t="s">
        <v>111</v>
      </c>
      <c r="I30" s="44">
        <f t="shared" si="0"/>
        <v>0</v>
      </c>
      <c r="J30" s="45">
        <f t="shared" si="1"/>
        <v>0</v>
      </c>
      <c r="K30" s="49"/>
      <c r="S30" s="127"/>
    </row>
    <row r="31" spans="1:34">
      <c r="A31" s="124" t="s">
        <v>183</v>
      </c>
      <c r="B31" s="14">
        <v>0</v>
      </c>
      <c r="C31" s="42">
        <v>0</v>
      </c>
      <c r="D31" s="49" t="s">
        <v>109</v>
      </c>
      <c r="E31" s="42">
        <v>0</v>
      </c>
      <c r="F31" s="51" t="s">
        <v>112</v>
      </c>
      <c r="G31" s="42">
        <v>0</v>
      </c>
      <c r="H31" s="49" t="s">
        <v>111</v>
      </c>
      <c r="I31" s="44">
        <f t="shared" si="0"/>
        <v>0</v>
      </c>
      <c r="J31" s="45">
        <f t="shared" si="1"/>
        <v>0</v>
      </c>
      <c r="K31" s="49"/>
      <c r="S31" s="127"/>
    </row>
    <row r="32" spans="1:34">
      <c r="A32" s="124" t="s">
        <v>158</v>
      </c>
      <c r="B32" s="125" t="s">
        <v>182</v>
      </c>
      <c r="C32" s="127"/>
      <c r="D32" s="127"/>
      <c r="E32" s="127"/>
      <c r="F32" s="127"/>
      <c r="G32" s="127"/>
      <c r="H32" s="127"/>
      <c r="I32" s="127"/>
      <c r="J32" s="127"/>
      <c r="K32" s="127"/>
      <c r="S32" s="127"/>
    </row>
    <row r="33" spans="1:19">
      <c r="A33" s="115" t="s">
        <v>188</v>
      </c>
      <c r="B33" s="12">
        <f>SUM(B10:B11)</f>
        <v>0</v>
      </c>
      <c r="C33" s="127"/>
      <c r="D33" s="127"/>
      <c r="E33" s="127"/>
      <c r="F33" s="127"/>
      <c r="G33" s="127"/>
      <c r="H33" s="127"/>
      <c r="I33" s="127"/>
      <c r="J33" s="127"/>
      <c r="K33" s="127"/>
      <c r="S33" s="127"/>
    </row>
    <row r="34" spans="1:19" s="127" customFormat="1">
      <c r="S34" s="130"/>
    </row>
    <row r="35" spans="1:19" s="127" customFormat="1">
      <c r="A35" s="190" t="s">
        <v>361</v>
      </c>
      <c r="B35" s="190"/>
      <c r="C35" s="190"/>
      <c r="D35" s="190"/>
      <c r="E35" s="190"/>
      <c r="F35" s="190"/>
    </row>
    <row r="36" spans="1:19" s="127" customFormat="1"/>
    <row r="37" spans="1:19" s="127" customFormat="1">
      <c r="A37" s="134"/>
    </row>
    <row r="38" spans="1:19" s="127" customFormat="1">
      <c r="A38" s="134"/>
    </row>
    <row r="39" spans="1:19" s="127" customFormat="1">
      <c r="A39" s="134"/>
    </row>
    <row r="40" spans="1:19" s="127" customFormat="1">
      <c r="A40" s="134"/>
    </row>
    <row r="41" spans="1:19" s="127" customFormat="1">
      <c r="A41" s="134"/>
    </row>
    <row r="42" spans="1:19" s="127" customFormat="1">
      <c r="A42" s="134"/>
    </row>
    <row r="43" spans="1:19" s="127" customFormat="1">
      <c r="A43" s="134"/>
    </row>
    <row r="44" spans="1:19" s="127" customFormat="1">
      <c r="A44" s="134"/>
    </row>
    <row r="45" spans="1:19" s="127" customFormat="1">
      <c r="A45" s="134"/>
    </row>
    <row r="46" spans="1:19" s="127" customFormat="1">
      <c r="A46" s="134"/>
    </row>
    <row r="47" spans="1:19" s="127" customFormat="1">
      <c r="A47" s="134"/>
    </row>
    <row r="48" spans="1:19" s="127" customFormat="1">
      <c r="A48" s="134"/>
    </row>
    <row r="49" spans="1:1" s="127" customFormat="1">
      <c r="A49" s="134"/>
    </row>
    <row r="50" spans="1:1" s="127" customFormat="1">
      <c r="A50" s="134"/>
    </row>
    <row r="51" spans="1:1" s="127" customFormat="1">
      <c r="A51" s="134"/>
    </row>
    <row r="52" spans="1:1" s="127" customFormat="1"/>
    <row r="53" spans="1:1" s="127" customFormat="1"/>
    <row r="54" spans="1:1" s="127" customFormat="1"/>
    <row r="55" spans="1:1" s="127" customFormat="1"/>
    <row r="56" spans="1:1" s="127" customFormat="1"/>
    <row r="57" spans="1:1" s="127" customFormat="1"/>
    <row r="58" spans="1:1" s="127" customFormat="1"/>
    <row r="59" spans="1:1" s="127" customFormat="1"/>
    <row r="60" spans="1:1" s="127" customFormat="1"/>
    <row r="61" spans="1:1" s="127" customFormat="1"/>
    <row r="62" spans="1:1" s="127" customFormat="1"/>
    <row r="63" spans="1:1" s="127" customFormat="1"/>
    <row r="64" spans="1:1" s="127" customFormat="1"/>
    <row r="65" s="127" customFormat="1"/>
    <row r="66" s="127" customFormat="1"/>
    <row r="67" s="127" customFormat="1"/>
    <row r="68" s="127" customFormat="1"/>
    <row r="69" s="127" customFormat="1"/>
    <row r="70" s="127" customFormat="1"/>
    <row r="71" s="127" customFormat="1"/>
    <row r="72" s="127" customFormat="1"/>
    <row r="73" s="127" customFormat="1"/>
    <row r="74" s="127" customFormat="1"/>
    <row r="75" s="127" customFormat="1"/>
    <row r="76" s="127" customFormat="1"/>
    <row r="77" s="127" customFormat="1"/>
    <row r="78" s="127" customFormat="1"/>
    <row r="79" s="127" customFormat="1"/>
    <row r="80" s="127" customFormat="1"/>
    <row r="81" s="127" customFormat="1"/>
    <row r="82" s="127" customFormat="1"/>
    <row r="83" s="127" customFormat="1"/>
    <row r="84" s="127" customFormat="1"/>
    <row r="85" s="127" customFormat="1"/>
    <row r="86" s="127" customFormat="1"/>
  </sheetData>
  <mergeCells count="1">
    <mergeCell ref="A35:F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40"/>
  <sheetViews>
    <sheetView zoomScaleNormal="100" workbookViewId="0">
      <selection activeCell="A11" sqref="A11"/>
    </sheetView>
  </sheetViews>
  <sheetFormatPr baseColWidth="10" defaultColWidth="11.5" defaultRowHeight="15"/>
  <cols>
    <col min="1" max="1" width="75.83203125" bestFit="1" customWidth="1"/>
    <col min="2" max="2" width="27.33203125" customWidth="1"/>
    <col min="3" max="3" width="49.5" hidden="1" customWidth="1"/>
    <col min="4" max="5" width="11.5" style="127"/>
    <col min="8" max="8" width="13.1640625" customWidth="1"/>
    <col min="9" max="39" width="11.5" style="127"/>
  </cols>
  <sheetData>
    <row r="1" spans="1:8">
      <c r="A1" s="109"/>
      <c r="B1" s="110" t="s">
        <v>269</v>
      </c>
      <c r="F1" s="127"/>
      <c r="G1" s="127"/>
      <c r="H1" s="127"/>
    </row>
    <row r="2" spans="1:8">
      <c r="A2" s="81" t="s">
        <v>93</v>
      </c>
      <c r="B2" s="81" t="s">
        <v>94</v>
      </c>
      <c r="F2" s="127"/>
      <c r="G2" s="127"/>
      <c r="H2" s="127"/>
    </row>
    <row r="3" spans="1:8">
      <c r="A3" s="27" t="s">
        <v>321</v>
      </c>
      <c r="B3" s="41">
        <v>645</v>
      </c>
      <c r="F3" s="191" t="s">
        <v>203</v>
      </c>
      <c r="G3" s="192"/>
      <c r="H3" s="193"/>
    </row>
    <row r="4" spans="1:8">
      <c r="A4" s="27" t="s">
        <v>259</v>
      </c>
      <c r="B4" s="41">
        <v>155</v>
      </c>
      <c r="F4" s="194"/>
      <c r="G4" s="195"/>
      <c r="H4" s="196"/>
    </row>
    <row r="5" spans="1:8">
      <c r="A5" s="27" t="s">
        <v>362</v>
      </c>
      <c r="B5" s="41">
        <v>40</v>
      </c>
      <c r="F5" s="149"/>
      <c r="G5" s="127"/>
      <c r="H5" s="127"/>
    </row>
    <row r="6" spans="1:8">
      <c r="A6" s="27" t="s">
        <v>256</v>
      </c>
      <c r="B6" s="41">
        <v>28</v>
      </c>
      <c r="F6" s="127"/>
      <c r="G6" s="127"/>
      <c r="H6" s="127"/>
    </row>
    <row r="7" spans="1:8">
      <c r="A7" s="27" t="s">
        <v>255</v>
      </c>
      <c r="B7" s="41">
        <v>50</v>
      </c>
      <c r="F7" s="127"/>
      <c r="G7" s="127"/>
      <c r="H7" s="127"/>
    </row>
    <row r="8" spans="1:8">
      <c r="A8" s="111"/>
      <c r="B8" s="113"/>
      <c r="F8" s="127"/>
      <c r="G8" s="127"/>
      <c r="H8" s="127"/>
    </row>
    <row r="9" spans="1:8">
      <c r="A9" s="81" t="s">
        <v>320</v>
      </c>
      <c r="B9" s="24"/>
      <c r="F9" s="127"/>
      <c r="G9" s="127"/>
      <c r="H9" s="127"/>
    </row>
    <row r="10" spans="1:8">
      <c r="A10" s="27" t="s">
        <v>322</v>
      </c>
      <c r="B10" s="42">
        <v>225</v>
      </c>
      <c r="F10" s="127"/>
      <c r="G10" s="127"/>
      <c r="H10" s="127"/>
    </row>
    <row r="11" spans="1:8">
      <c r="A11" s="27" t="s">
        <v>135</v>
      </c>
      <c r="B11" s="42">
        <v>215</v>
      </c>
      <c r="F11" s="127"/>
      <c r="G11" s="127"/>
      <c r="H11" s="127"/>
    </row>
    <row r="12" spans="1:8">
      <c r="A12" s="27" t="s">
        <v>323</v>
      </c>
      <c r="B12" s="42">
        <v>10</v>
      </c>
      <c r="F12" s="127"/>
      <c r="G12" s="127"/>
      <c r="H12" s="127"/>
    </row>
    <row r="13" spans="1:8">
      <c r="A13" s="27" t="s">
        <v>324</v>
      </c>
      <c r="B13" s="42">
        <v>30</v>
      </c>
      <c r="F13" s="127"/>
      <c r="G13" s="127"/>
      <c r="H13" s="127"/>
    </row>
    <row r="14" spans="1:8">
      <c r="A14" s="27" t="s">
        <v>119</v>
      </c>
      <c r="B14" s="41" t="s">
        <v>120</v>
      </c>
      <c r="F14" s="127"/>
      <c r="G14" s="127"/>
      <c r="H14" s="127"/>
    </row>
    <row r="15" spans="1:8">
      <c r="A15" s="111"/>
      <c r="B15" s="113"/>
      <c r="F15" s="127"/>
      <c r="G15" s="127"/>
      <c r="H15" s="127"/>
    </row>
    <row r="16" spans="1:8">
      <c r="A16" s="81" t="s">
        <v>200</v>
      </c>
      <c r="B16" s="21"/>
      <c r="F16" s="127"/>
      <c r="G16" s="127"/>
      <c r="H16" s="127"/>
    </row>
    <row r="17" spans="1:8">
      <c r="A17" s="111" t="s">
        <v>325</v>
      </c>
      <c r="B17" s="42"/>
      <c r="F17" s="127"/>
      <c r="G17" s="127"/>
      <c r="H17" s="127"/>
    </row>
    <row r="18" spans="1:8">
      <c r="A18" s="27" t="s">
        <v>326</v>
      </c>
      <c r="B18" s="52">
        <v>40</v>
      </c>
      <c r="C18" t="s">
        <v>122</v>
      </c>
      <c r="F18" s="127"/>
      <c r="G18" s="127"/>
      <c r="H18" s="127"/>
    </row>
    <row r="19" spans="1:8">
      <c r="A19" s="111"/>
      <c r="B19" s="114"/>
      <c r="F19" s="127"/>
      <c r="G19" s="127"/>
      <c r="H19" s="127"/>
    </row>
    <row r="20" spans="1:8">
      <c r="A20" s="81" t="s">
        <v>201</v>
      </c>
      <c r="B20" s="25"/>
      <c r="F20" s="127"/>
      <c r="G20" s="127"/>
      <c r="H20" s="127"/>
    </row>
    <row r="21" spans="1:8">
      <c r="A21" s="27" t="s">
        <v>327</v>
      </c>
      <c r="B21" s="52">
        <v>28</v>
      </c>
      <c r="F21" s="127"/>
      <c r="G21" s="127"/>
      <c r="H21" s="127"/>
    </row>
    <row r="22" spans="1:8">
      <c r="A22" s="27" t="s">
        <v>147</v>
      </c>
      <c r="B22" s="52">
        <v>8</v>
      </c>
      <c r="F22" s="127"/>
      <c r="G22" s="127"/>
      <c r="H22" s="127"/>
    </row>
    <row r="23" spans="1:8">
      <c r="A23" s="27" t="s">
        <v>129</v>
      </c>
      <c r="B23" s="52">
        <v>4</v>
      </c>
      <c r="C23" t="s">
        <v>130</v>
      </c>
      <c r="F23" s="127"/>
      <c r="G23" s="127"/>
      <c r="H23" s="127"/>
    </row>
    <row r="24" spans="1:8">
      <c r="A24" s="27" t="s">
        <v>132</v>
      </c>
      <c r="B24" s="52">
        <v>1</v>
      </c>
      <c r="C24" t="s">
        <v>131</v>
      </c>
      <c r="F24" s="127"/>
      <c r="G24" s="127"/>
      <c r="H24" s="127"/>
    </row>
    <row r="25" spans="1:8">
      <c r="A25" s="27" t="s">
        <v>141</v>
      </c>
      <c r="B25" s="42">
        <v>4</v>
      </c>
      <c r="F25" s="127"/>
      <c r="G25" s="127"/>
      <c r="H25" s="127"/>
    </row>
    <row r="26" spans="1:8">
      <c r="A26" s="27" t="s">
        <v>328</v>
      </c>
      <c r="B26" s="42">
        <v>4</v>
      </c>
      <c r="F26" s="127"/>
      <c r="G26" s="127"/>
      <c r="H26" s="127"/>
    </row>
    <row r="27" spans="1:8">
      <c r="A27" s="27" t="s">
        <v>140</v>
      </c>
      <c r="B27" s="42">
        <v>4</v>
      </c>
      <c r="F27" s="127"/>
      <c r="G27" s="127"/>
      <c r="H27" s="127"/>
    </row>
    <row r="28" spans="1:8">
      <c r="A28" s="27" t="s">
        <v>142</v>
      </c>
      <c r="B28" s="42">
        <v>8</v>
      </c>
      <c r="F28" s="127"/>
      <c r="G28" s="127"/>
      <c r="H28" s="127"/>
    </row>
    <row r="29" spans="1:8">
      <c r="A29" s="111"/>
      <c r="B29" s="38"/>
      <c r="F29" s="127"/>
      <c r="G29" s="127"/>
      <c r="H29" s="127"/>
    </row>
    <row r="30" spans="1:8">
      <c r="A30" s="81" t="s">
        <v>202</v>
      </c>
      <c r="B30" s="26"/>
      <c r="F30" s="127"/>
      <c r="G30" s="127"/>
      <c r="H30" s="127"/>
    </row>
    <row r="31" spans="1:8">
      <c r="A31" s="27" t="s">
        <v>155</v>
      </c>
      <c r="B31" s="53">
        <v>2</v>
      </c>
      <c r="F31" s="127"/>
      <c r="G31" s="127"/>
      <c r="H31" s="127"/>
    </row>
    <row r="32" spans="1:8">
      <c r="A32" s="27" t="s">
        <v>156</v>
      </c>
      <c r="B32" s="53">
        <v>0.6</v>
      </c>
      <c r="F32" s="127"/>
      <c r="G32" s="127"/>
      <c r="H32" s="127"/>
    </row>
    <row r="33" spans="1:8">
      <c r="A33" s="27" t="s">
        <v>157</v>
      </c>
      <c r="B33" s="53">
        <v>0.25</v>
      </c>
      <c r="F33" s="127"/>
      <c r="G33" s="127"/>
      <c r="H33" s="127"/>
    </row>
    <row r="34" spans="1:8">
      <c r="A34" s="27" t="s">
        <v>164</v>
      </c>
      <c r="B34" s="54">
        <v>12</v>
      </c>
      <c r="C34" t="s">
        <v>165</v>
      </c>
      <c r="F34" s="127"/>
      <c r="G34" s="127"/>
      <c r="H34" s="127"/>
    </row>
    <row r="35" spans="1:8">
      <c r="A35" s="79"/>
      <c r="B35" s="37"/>
      <c r="F35" s="127"/>
      <c r="G35" s="127"/>
      <c r="H35" s="127"/>
    </row>
    <row r="36" spans="1:8">
      <c r="A36" s="81" t="s">
        <v>121</v>
      </c>
      <c r="B36" s="81"/>
      <c r="F36" s="127"/>
      <c r="G36" s="127"/>
      <c r="H36" s="127"/>
    </row>
    <row r="37" spans="1:8">
      <c r="A37" s="27" t="s">
        <v>204</v>
      </c>
      <c r="B37" s="41">
        <v>0.5</v>
      </c>
      <c r="D37" s="127" t="s">
        <v>366</v>
      </c>
      <c r="F37" s="127"/>
      <c r="G37" s="127"/>
      <c r="H37" s="127"/>
    </row>
    <row r="38" spans="1:8">
      <c r="A38" s="27" t="s">
        <v>205</v>
      </c>
      <c r="B38" s="41">
        <v>1</v>
      </c>
      <c r="D38" s="127" t="s">
        <v>365</v>
      </c>
      <c r="F38" s="127"/>
      <c r="G38" s="127"/>
      <c r="H38" s="127"/>
    </row>
    <row r="39" spans="1:8">
      <c r="A39" s="79"/>
      <c r="B39" s="37"/>
      <c r="F39" s="127"/>
      <c r="G39" s="127"/>
      <c r="H39" s="127"/>
    </row>
    <row r="40" spans="1:8">
      <c r="A40" s="81" t="s">
        <v>239</v>
      </c>
      <c r="B40" s="21"/>
      <c r="F40" s="127"/>
      <c r="G40" s="127"/>
      <c r="H40" s="127"/>
    </row>
    <row r="41" spans="1:8">
      <c r="A41" s="27" t="s">
        <v>240</v>
      </c>
      <c r="B41" s="42">
        <v>0.99999000000000005</v>
      </c>
      <c r="F41" s="127"/>
      <c r="G41" s="127"/>
      <c r="H41" s="127"/>
    </row>
    <row r="42" spans="1:8">
      <c r="A42" s="27" t="s">
        <v>241</v>
      </c>
      <c r="B42" s="42">
        <v>0.999</v>
      </c>
      <c r="F42" s="127"/>
      <c r="G42" s="127"/>
      <c r="H42" s="127"/>
    </row>
    <row r="43" spans="1:8">
      <c r="A43" s="79"/>
      <c r="B43" s="37"/>
      <c r="F43" s="127"/>
      <c r="G43" s="127"/>
      <c r="H43" s="127"/>
    </row>
    <row r="44" spans="1:8">
      <c r="A44" s="81" t="s">
        <v>242</v>
      </c>
      <c r="B44" s="21"/>
      <c r="F44" s="127"/>
      <c r="G44" s="127"/>
      <c r="H44" s="127"/>
    </row>
    <row r="45" spans="1:8">
      <c r="A45" s="27" t="s">
        <v>243</v>
      </c>
      <c r="B45" s="53">
        <v>0.06</v>
      </c>
      <c r="F45" s="127"/>
      <c r="G45" s="127"/>
      <c r="H45" s="127"/>
    </row>
    <row r="46" spans="1:8">
      <c r="A46" s="27" t="s">
        <v>97</v>
      </c>
      <c r="B46" s="53">
        <v>0.1</v>
      </c>
      <c r="F46" s="127"/>
      <c r="G46" s="127"/>
      <c r="H46" s="127"/>
    </row>
    <row r="47" spans="1:8" s="127" customFormat="1"/>
    <row r="48" spans="1:8" s="127" customFormat="1"/>
    <row r="49" spans="2:2" s="127" customFormat="1">
      <c r="B49" s="132"/>
    </row>
    <row r="50" spans="2:2" s="127" customFormat="1"/>
    <row r="51" spans="2:2" s="127" customFormat="1"/>
    <row r="52" spans="2:2" s="127" customFormat="1"/>
    <row r="53" spans="2:2" s="127" customFormat="1"/>
    <row r="54" spans="2:2" s="127" customFormat="1"/>
    <row r="55" spans="2:2" s="127" customFormat="1"/>
    <row r="56" spans="2:2" s="127" customFormat="1"/>
    <row r="57" spans="2:2" s="127" customFormat="1"/>
    <row r="58" spans="2:2" s="127" customFormat="1"/>
    <row r="59" spans="2:2" s="127" customFormat="1"/>
    <row r="60" spans="2:2" s="127" customFormat="1"/>
    <row r="61" spans="2:2" s="127" customFormat="1"/>
    <row r="62" spans="2:2" s="127" customFormat="1"/>
    <row r="63" spans="2:2" s="127" customFormat="1"/>
    <row r="64" spans="2:2" s="127" customFormat="1"/>
    <row r="65" s="127" customFormat="1"/>
    <row r="66" s="127" customFormat="1"/>
    <row r="67" s="127" customFormat="1"/>
    <row r="68" s="127" customFormat="1"/>
    <row r="69" s="127" customFormat="1"/>
    <row r="70" s="127" customFormat="1"/>
    <row r="71" s="127" customFormat="1"/>
    <row r="72" s="127" customFormat="1"/>
    <row r="73" s="127" customFormat="1"/>
    <row r="74" s="127" customFormat="1"/>
    <row r="75" s="127" customFormat="1"/>
    <row r="76" s="127" customFormat="1"/>
    <row r="77" s="127" customFormat="1"/>
    <row r="78" s="127" customFormat="1"/>
    <row r="79" s="127" customFormat="1"/>
    <row r="80" s="127" customFormat="1"/>
    <row r="81" s="127" customFormat="1"/>
    <row r="82" s="127" customFormat="1"/>
    <row r="83" s="127" customFormat="1"/>
    <row r="84" s="127" customFormat="1"/>
    <row r="85" s="127" customFormat="1"/>
    <row r="86" s="127" customFormat="1"/>
    <row r="87" s="127" customFormat="1"/>
    <row r="88" s="127" customFormat="1"/>
    <row r="89" s="127" customFormat="1"/>
    <row r="90" s="127" customFormat="1"/>
    <row r="91" s="127" customFormat="1"/>
    <row r="92" s="127" customFormat="1"/>
    <row r="93" s="127" customFormat="1"/>
    <row r="94" s="127" customFormat="1"/>
    <row r="95" s="127" customFormat="1"/>
    <row r="96" s="127" customFormat="1"/>
    <row r="97" s="127" customFormat="1"/>
    <row r="98" s="127" customFormat="1"/>
    <row r="99" s="127" customFormat="1"/>
    <row r="100" s="127" customFormat="1"/>
    <row r="101" s="127" customFormat="1"/>
    <row r="102" s="127" customFormat="1"/>
    <row r="103" s="127" customFormat="1"/>
    <row r="104" s="127" customFormat="1"/>
    <row r="105" s="127" customFormat="1"/>
    <row r="106" s="127" customFormat="1"/>
    <row r="107" s="127" customFormat="1"/>
    <row r="108" s="127" customFormat="1"/>
    <row r="109" s="127" customFormat="1"/>
    <row r="110" s="127" customFormat="1"/>
    <row r="111" s="127" customFormat="1"/>
    <row r="112" s="127" customFormat="1"/>
    <row r="113" s="127" customFormat="1"/>
    <row r="114" s="127" customFormat="1"/>
    <row r="115" s="127" customFormat="1"/>
    <row r="116" s="127" customFormat="1"/>
    <row r="117" s="127" customFormat="1"/>
    <row r="118" s="127" customFormat="1"/>
    <row r="119" s="127" customFormat="1"/>
    <row r="120" s="127" customFormat="1"/>
    <row r="121" s="127" customFormat="1"/>
    <row r="122" s="127" customFormat="1"/>
    <row r="123" s="127" customFormat="1"/>
    <row r="124" s="127" customFormat="1"/>
    <row r="125" s="127" customFormat="1"/>
    <row r="126" s="127" customFormat="1"/>
    <row r="127" s="127" customFormat="1"/>
    <row r="128" s="127" customFormat="1"/>
    <row r="129" s="127" customFormat="1"/>
    <row r="130" s="127" customFormat="1"/>
    <row r="131" s="127" customFormat="1"/>
    <row r="132" s="127" customFormat="1"/>
    <row r="133" s="127" customFormat="1"/>
    <row r="134" s="127" customFormat="1"/>
    <row r="135" s="127" customFormat="1"/>
    <row r="136" s="127" customFormat="1"/>
    <row r="137" s="127" customFormat="1"/>
    <row r="138" s="127" customFormat="1"/>
    <row r="139" s="127" customFormat="1"/>
    <row r="140" s="127" customFormat="1"/>
  </sheetData>
  <mergeCells count="1">
    <mergeCell ref="F3:H4"/>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10"/>
  <sheetViews>
    <sheetView zoomScaleNormal="100" workbookViewId="0">
      <pane xSplit="1" topLeftCell="B1" activePane="topRight" state="frozen"/>
      <selection pane="topRight" activeCell="B1" sqref="B1"/>
    </sheetView>
  </sheetViews>
  <sheetFormatPr baseColWidth="10" defaultColWidth="8.6640625" defaultRowHeight="15"/>
  <cols>
    <col min="1" max="1" width="90.83203125" style="33" customWidth="1"/>
    <col min="2" max="2" width="91.5" style="187" customWidth="1"/>
    <col min="3" max="3" width="17.5" style="1" customWidth="1"/>
    <col min="4" max="4" width="31.1640625" style="1" bestFit="1" customWidth="1"/>
    <col min="5" max="5" width="34.6640625" style="1" bestFit="1" customWidth="1"/>
    <col min="6" max="6" width="62.33203125" style="1" hidden="1" customWidth="1"/>
    <col min="7" max="7" width="0" style="1" hidden="1" customWidth="1"/>
    <col min="8" max="43" width="8.6640625" style="128"/>
    <col min="44" max="16384" width="8.6640625" style="1"/>
  </cols>
  <sheetData>
    <row r="1" spans="1:43">
      <c r="A1" s="98"/>
      <c r="B1" s="177"/>
      <c r="C1" s="99"/>
      <c r="D1" s="152" t="s">
        <v>179</v>
      </c>
      <c r="E1" s="104" t="s">
        <v>187</v>
      </c>
    </row>
    <row r="2" spans="1:43">
      <c r="A2" s="103" t="s">
        <v>146</v>
      </c>
      <c r="B2" s="178" t="s">
        <v>21</v>
      </c>
      <c r="C2" s="91" t="s">
        <v>193</v>
      </c>
      <c r="D2" s="91" t="s">
        <v>134</v>
      </c>
      <c r="E2" s="91" t="s">
        <v>128</v>
      </c>
    </row>
    <row r="3" spans="1:43">
      <c r="A3" s="34" t="s">
        <v>329</v>
      </c>
      <c r="B3" s="179" t="s">
        <v>208</v>
      </c>
      <c r="C3" s="64">
        <f>ROUNDUP(C29/SplitRatio,0)</f>
        <v>0</v>
      </c>
      <c r="D3" s="55"/>
      <c r="E3" s="65">
        <f>C3*D3</f>
        <v>0</v>
      </c>
      <c r="F3" s="5" t="s">
        <v>72</v>
      </c>
      <c r="I3" s="127"/>
    </row>
    <row r="4" spans="1:43">
      <c r="A4" s="34" t="s">
        <v>330</v>
      </c>
      <c r="B4" s="179" t="s">
        <v>208</v>
      </c>
      <c r="C4" s="64">
        <f>ROUNDUP(C19/SplitRatio,0)</f>
        <v>0</v>
      </c>
      <c r="D4" s="55"/>
      <c r="E4" s="65">
        <f t="shared" ref="E4:E59" si="0">C4*D4</f>
        <v>0</v>
      </c>
      <c r="F4" s="5" t="s">
        <v>124</v>
      </c>
      <c r="I4" s="127"/>
    </row>
    <row r="5" spans="1:43">
      <c r="A5" s="34" t="s">
        <v>331</v>
      </c>
      <c r="B5" s="179" t="s">
        <v>208</v>
      </c>
      <c r="C5" s="64">
        <f>ROUNDUP(C23/SplitRatio,0)</f>
        <v>0</v>
      </c>
      <c r="D5" s="55"/>
      <c r="E5" s="65">
        <f t="shared" si="0"/>
        <v>0</v>
      </c>
      <c r="F5" s="9" t="s">
        <v>73</v>
      </c>
      <c r="I5" s="127"/>
    </row>
    <row r="6" spans="1:43">
      <c r="A6" s="34" t="s">
        <v>332</v>
      </c>
      <c r="B6" s="179" t="s">
        <v>208</v>
      </c>
      <c r="C6" s="64">
        <f>ROUNDUP(C15/SplitRatio,0)</f>
        <v>0</v>
      </c>
      <c r="D6" s="55"/>
      <c r="E6" s="65">
        <f t="shared" si="0"/>
        <v>0</v>
      </c>
      <c r="F6" s="9"/>
      <c r="I6" s="127"/>
    </row>
    <row r="7" spans="1:43">
      <c r="A7" s="34" t="s">
        <v>129</v>
      </c>
      <c r="B7" s="179" t="s">
        <v>152</v>
      </c>
      <c r="C7" s="13">
        <v>2</v>
      </c>
      <c r="D7" s="55"/>
      <c r="E7" s="65">
        <f t="shared" si="0"/>
        <v>0</v>
      </c>
      <c r="F7" s="5" t="s">
        <v>68</v>
      </c>
      <c r="I7" s="127"/>
      <c r="J7" s="129"/>
    </row>
    <row r="8" spans="1:43">
      <c r="A8" s="34" t="s">
        <v>22</v>
      </c>
      <c r="B8" s="179" t="s">
        <v>153</v>
      </c>
      <c r="C8" s="13">
        <v>2</v>
      </c>
      <c r="D8" s="55"/>
      <c r="E8" s="65">
        <f t="shared" si="0"/>
        <v>0</v>
      </c>
      <c r="F8" s="5" t="s">
        <v>68</v>
      </c>
      <c r="J8" s="129"/>
    </row>
    <row r="9" spans="1:43">
      <c r="A9" s="34" t="s">
        <v>24</v>
      </c>
      <c r="B9" s="179" t="s">
        <v>23</v>
      </c>
      <c r="C9" s="64">
        <f>ROUNDUP(SUM(C3:C6)/OLTLineCardPortDefault,0)</f>
        <v>0</v>
      </c>
      <c r="D9" s="55"/>
      <c r="E9" s="65">
        <f t="shared" si="0"/>
        <v>0</v>
      </c>
      <c r="F9" s="5" t="s">
        <v>70</v>
      </c>
      <c r="J9" s="129"/>
    </row>
    <row r="10" spans="1:43">
      <c r="A10" s="34" t="s">
        <v>150</v>
      </c>
      <c r="B10" s="179" t="s">
        <v>23</v>
      </c>
      <c r="C10" s="64">
        <f>SUM(C3:C6)</f>
        <v>0</v>
      </c>
      <c r="D10" s="55"/>
      <c r="E10" s="65">
        <f t="shared" si="0"/>
        <v>0</v>
      </c>
      <c r="F10" s="5" t="s">
        <v>67</v>
      </c>
      <c r="J10" s="129"/>
    </row>
    <row r="11" spans="1:43">
      <c r="A11" s="34" t="s">
        <v>151</v>
      </c>
      <c r="B11" s="179" t="s">
        <v>23</v>
      </c>
      <c r="C11" s="14"/>
      <c r="D11" s="35"/>
      <c r="E11" s="55">
        <v>0</v>
      </c>
      <c r="F11" s="5" t="s">
        <v>71</v>
      </c>
      <c r="J11" s="129"/>
    </row>
    <row r="12" spans="1:43">
      <c r="A12" s="34" t="s">
        <v>244</v>
      </c>
      <c r="B12" s="179" t="s">
        <v>29</v>
      </c>
      <c r="C12" s="14"/>
      <c r="D12" s="35"/>
      <c r="E12" s="56">
        <f>GPON_Maintenance*(SUM(E3:E11)+SUM(E15+E19+E23+E27+E28+E13))</f>
        <v>0</v>
      </c>
      <c r="F12" s="4"/>
    </row>
    <row r="13" spans="1:43">
      <c r="A13" s="34" t="s">
        <v>149</v>
      </c>
      <c r="B13" s="179" t="s">
        <v>45</v>
      </c>
      <c r="C13" s="13">
        <v>1</v>
      </c>
      <c r="D13" s="55"/>
      <c r="E13" s="65">
        <f>C13*D13</f>
        <v>0</v>
      </c>
      <c r="F13" s="5" t="s">
        <v>46</v>
      </c>
    </row>
    <row r="14" spans="1:43">
      <c r="A14" s="91" t="s">
        <v>3</v>
      </c>
      <c r="B14" s="180" t="s">
        <v>21</v>
      </c>
      <c r="C14" s="91" t="s">
        <v>193</v>
      </c>
      <c r="D14" s="105" t="s">
        <v>134</v>
      </c>
      <c r="E14" s="91" t="s">
        <v>128</v>
      </c>
      <c r="F14" s="5"/>
    </row>
    <row r="15" spans="1:43" customFormat="1" ht="30">
      <c r="A15" s="28" t="s">
        <v>138</v>
      </c>
      <c r="B15" s="179" t="s">
        <v>209</v>
      </c>
      <c r="C15" s="44">
        <f>ROUNDUP(BackofHouseTotalPortCount/BohONTPortSizeDefault,0)</f>
        <v>0</v>
      </c>
      <c r="D15" s="57"/>
      <c r="E15" s="66">
        <f>C15*D15</f>
        <v>0</v>
      </c>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row>
    <row r="16" spans="1:43">
      <c r="A16" s="28" t="s">
        <v>44</v>
      </c>
      <c r="B16" s="179" t="s">
        <v>211</v>
      </c>
      <c r="C16" s="14" t="s">
        <v>114</v>
      </c>
      <c r="D16" s="35"/>
      <c r="E16" s="55">
        <v>0</v>
      </c>
      <c r="F16" s="5"/>
    </row>
    <row r="17" spans="1:6">
      <c r="A17" s="28" t="s">
        <v>139</v>
      </c>
      <c r="B17" s="179" t="s">
        <v>333</v>
      </c>
      <c r="C17" s="67">
        <f>BackofHouseTotalPortCount*AvgCableLengthONTtoDevice</f>
        <v>0</v>
      </c>
      <c r="D17" s="58"/>
      <c r="E17" s="68">
        <f>C17*D17</f>
        <v>0</v>
      </c>
      <c r="F17" s="5"/>
    </row>
    <row r="18" spans="1:6">
      <c r="A18" s="91" t="s">
        <v>144</v>
      </c>
      <c r="B18" s="180" t="s">
        <v>21</v>
      </c>
      <c r="C18" s="91" t="s">
        <v>193</v>
      </c>
      <c r="D18" s="105" t="s">
        <v>134</v>
      </c>
      <c r="E18" s="91" t="s">
        <v>128</v>
      </c>
      <c r="F18" s="5"/>
    </row>
    <row r="19" spans="1:6" ht="30">
      <c r="A19" s="28" t="s">
        <v>138</v>
      </c>
      <c r="B19" s="179" t="s">
        <v>209</v>
      </c>
      <c r="C19" s="69">
        <f>ROUNDUP(NonGuestRoomTotalPortCount/PublicAreaONTPortSizeDefault,0)</f>
        <v>0</v>
      </c>
      <c r="D19" s="59"/>
      <c r="E19" s="70">
        <f>C19*D19</f>
        <v>0</v>
      </c>
      <c r="F19" s="5"/>
    </row>
    <row r="20" spans="1:6">
      <c r="A20" s="28" t="s">
        <v>44</v>
      </c>
      <c r="B20" s="179" t="s">
        <v>210</v>
      </c>
      <c r="C20" s="14">
        <f>SUM('Hotel Details'!B15:B25)</f>
        <v>0</v>
      </c>
      <c r="D20" s="36"/>
      <c r="E20" s="60">
        <v>0</v>
      </c>
      <c r="F20" s="5" t="s">
        <v>145</v>
      </c>
    </row>
    <row r="21" spans="1:6">
      <c r="A21" s="28" t="s">
        <v>139</v>
      </c>
      <c r="B21" s="179" t="s">
        <v>334</v>
      </c>
      <c r="C21" s="64">
        <f>NonGuestRoomTotalPortCount*AvgCableLengthONTtoDevice</f>
        <v>0</v>
      </c>
      <c r="D21" s="56"/>
      <c r="E21" s="70">
        <f t="shared" ref="E21" si="1">C21*D21</f>
        <v>0</v>
      </c>
      <c r="F21" s="5"/>
    </row>
    <row r="22" spans="1:6">
      <c r="A22" s="91" t="s">
        <v>137</v>
      </c>
      <c r="B22" s="180" t="s">
        <v>21</v>
      </c>
      <c r="C22" s="91" t="s">
        <v>193</v>
      </c>
      <c r="D22" s="105" t="s">
        <v>134</v>
      </c>
      <c r="E22" s="91" t="s">
        <v>128</v>
      </c>
      <c r="F22" s="5"/>
    </row>
    <row r="23" spans="1:6" ht="30">
      <c r="A23" s="28" t="s">
        <v>138</v>
      </c>
      <c r="B23" s="179" t="s">
        <v>209</v>
      </c>
      <c r="C23" s="64">
        <f>ROUNDUP(MeetingRoomTotalPortCount/ConfSpaceONTportSizeDefault,0)</f>
        <v>0</v>
      </c>
      <c r="D23" s="56"/>
      <c r="E23" s="65">
        <f>C23*D23</f>
        <v>0</v>
      </c>
      <c r="F23" s="5"/>
    </row>
    <row r="24" spans="1:6">
      <c r="A24" s="28" t="s">
        <v>44</v>
      </c>
      <c r="B24" s="181" t="s">
        <v>143</v>
      </c>
      <c r="C24" s="14"/>
      <c r="D24" s="36"/>
      <c r="E24" s="55">
        <v>0</v>
      </c>
      <c r="F24" s="5"/>
    </row>
    <row r="25" spans="1:6">
      <c r="A25" s="28" t="s">
        <v>139</v>
      </c>
      <c r="B25" s="179" t="s">
        <v>335</v>
      </c>
      <c r="C25" s="64">
        <f>MeetingRoomTotalPortCount*AvgCableLengthONTtoDeviceMeetingSpace</f>
        <v>0</v>
      </c>
      <c r="D25" s="56"/>
      <c r="E25" s="65">
        <f>C25*D25</f>
        <v>0</v>
      </c>
      <c r="F25" s="5"/>
    </row>
    <row r="26" spans="1:6">
      <c r="A26" s="91" t="s">
        <v>42</v>
      </c>
      <c r="B26" s="180" t="s">
        <v>21</v>
      </c>
      <c r="C26" s="91" t="s">
        <v>193</v>
      </c>
      <c r="D26" s="105" t="s">
        <v>134</v>
      </c>
      <c r="E26" s="91" t="s">
        <v>128</v>
      </c>
    </row>
    <row r="27" spans="1:6" ht="30">
      <c r="A27" s="28" t="s">
        <v>125</v>
      </c>
      <c r="B27" s="179" t="s">
        <v>209</v>
      </c>
      <c r="C27" s="64">
        <f>ROUNDUP(NumberHotelRooms*'Equipment Details'!B37,0)</f>
        <v>0</v>
      </c>
      <c r="D27" s="56"/>
      <c r="E27" s="65">
        <f t="shared" si="0"/>
        <v>0</v>
      </c>
      <c r="F27" s="5" t="s">
        <v>66</v>
      </c>
    </row>
    <row r="28" spans="1:6" ht="30">
      <c r="A28" s="28" t="s">
        <v>126</v>
      </c>
      <c r="B28" s="179" t="s">
        <v>209</v>
      </c>
      <c r="C28" s="64">
        <f>ROUNDUP((NumberHotelSuites*'Equipment Details'!B38),0)</f>
        <v>0</v>
      </c>
      <c r="D28" s="56"/>
      <c r="E28" s="65">
        <f t="shared" si="0"/>
        <v>0</v>
      </c>
      <c r="F28" s="5"/>
    </row>
    <row r="29" spans="1:6" ht="30">
      <c r="A29" s="28" t="s">
        <v>136</v>
      </c>
      <c r="B29" s="179" t="s">
        <v>209</v>
      </c>
      <c r="C29" s="64">
        <f>SUM(C27:C28)</f>
        <v>0</v>
      </c>
      <c r="D29" s="36"/>
      <c r="E29" s="15"/>
      <c r="F29" s="5" t="s">
        <v>148</v>
      </c>
    </row>
    <row r="30" spans="1:6" ht="30">
      <c r="A30" s="28" t="s">
        <v>44</v>
      </c>
      <c r="B30" s="181" t="s">
        <v>343</v>
      </c>
      <c r="C30" s="14">
        <f>SUM(C27:C28)</f>
        <v>0</v>
      </c>
      <c r="D30" s="36"/>
      <c r="E30" s="55">
        <v>0</v>
      </c>
      <c r="F30" s="5" t="s">
        <v>69</v>
      </c>
    </row>
    <row r="31" spans="1:6">
      <c r="A31" s="34" t="s">
        <v>43</v>
      </c>
      <c r="B31" s="181" t="s">
        <v>133</v>
      </c>
      <c r="C31" s="64">
        <f>AvgCableLengthONTtoDevice*(TotalPortsGuestRoom+TotalPortsSuites)</f>
        <v>0</v>
      </c>
      <c r="D31" s="56"/>
      <c r="E31" s="65">
        <f t="shared" si="0"/>
        <v>0</v>
      </c>
      <c r="F31" s="5" t="s">
        <v>47</v>
      </c>
    </row>
    <row r="32" spans="1:6">
      <c r="A32" s="34" t="s">
        <v>154</v>
      </c>
      <c r="B32" s="181" t="s">
        <v>248</v>
      </c>
      <c r="C32" s="14"/>
      <c r="D32" s="36">
        <v>17</v>
      </c>
      <c r="E32" s="65">
        <f>0.5*(E27+E28)</f>
        <v>0</v>
      </c>
      <c r="F32" s="5"/>
    </row>
    <row r="33" spans="1:11">
      <c r="A33" s="91" t="s">
        <v>178</v>
      </c>
      <c r="B33" s="180" t="s">
        <v>21</v>
      </c>
      <c r="C33" s="91" t="s">
        <v>193</v>
      </c>
      <c r="D33" s="105" t="s">
        <v>134</v>
      </c>
      <c r="E33" s="91" t="s">
        <v>128</v>
      </c>
    </row>
    <row r="34" spans="1:11">
      <c r="A34" s="28" t="s">
        <v>48</v>
      </c>
      <c r="B34" s="181" t="s">
        <v>212</v>
      </c>
      <c r="C34" s="14" t="s">
        <v>127</v>
      </c>
      <c r="D34" s="35"/>
      <c r="E34" s="61"/>
      <c r="F34" s="7" t="s">
        <v>74</v>
      </c>
      <c r="G34" s="5" t="s">
        <v>90</v>
      </c>
    </row>
    <row r="35" spans="1:11">
      <c r="A35" s="28" t="s">
        <v>49</v>
      </c>
      <c r="B35" s="181" t="s">
        <v>213</v>
      </c>
      <c r="C35" s="14" t="s">
        <v>127</v>
      </c>
      <c r="D35" s="35"/>
      <c r="E35" s="61">
        <v>0</v>
      </c>
      <c r="F35" s="7" t="s">
        <v>75</v>
      </c>
    </row>
    <row r="36" spans="1:11">
      <c r="A36" s="28" t="s">
        <v>59</v>
      </c>
      <c r="B36" s="181" t="s">
        <v>215</v>
      </c>
      <c r="C36" s="14" t="s">
        <v>127</v>
      </c>
      <c r="D36" s="35"/>
      <c r="E36" s="61">
        <v>0</v>
      </c>
      <c r="F36" s="5" t="s">
        <v>91</v>
      </c>
      <c r="G36" s="5" t="s">
        <v>92</v>
      </c>
    </row>
    <row r="37" spans="1:11">
      <c r="A37" s="28" t="s">
        <v>55</v>
      </c>
      <c r="B37" s="181" t="s">
        <v>214</v>
      </c>
      <c r="C37" s="14"/>
      <c r="D37" s="35"/>
      <c r="E37" s="61">
        <v>0</v>
      </c>
      <c r="F37" s="5" t="s">
        <v>101</v>
      </c>
    </row>
    <row r="38" spans="1:11">
      <c r="A38" s="28" t="s">
        <v>226</v>
      </c>
      <c r="B38" s="181" t="s">
        <v>265</v>
      </c>
      <c r="C38" s="71">
        <f>((SUM(TotalGuestRoomONTCount+C23+C19+C15)*ONT_WATTS))</f>
        <v>0</v>
      </c>
      <c r="D38" s="62"/>
      <c r="E38" s="72">
        <f>C38*(8760/1000)*D38</f>
        <v>0</v>
      </c>
      <c r="F38" s="5"/>
    </row>
    <row r="39" spans="1:11">
      <c r="A39" s="28" t="s">
        <v>227</v>
      </c>
      <c r="B39" s="181" t="s">
        <v>265</v>
      </c>
      <c r="C39" s="71">
        <f>OLT_Wattage*(SUM(C3:C6))</f>
        <v>0</v>
      </c>
      <c r="D39" s="62"/>
      <c r="E39" s="72">
        <f>(C39*8760/1000)*D39</f>
        <v>0</v>
      </c>
      <c r="F39" s="5"/>
    </row>
    <row r="40" spans="1:11">
      <c r="A40" s="28" t="s">
        <v>266</v>
      </c>
      <c r="B40" s="182" t="s">
        <v>254</v>
      </c>
      <c r="C40" s="44">
        <f>CoreSwitchWattage</f>
        <v>155</v>
      </c>
      <c r="D40" s="57"/>
      <c r="E40" s="66">
        <f>(8760/1000)*C40*D40</f>
        <v>0</v>
      </c>
      <c r="F40" s="5"/>
    </row>
    <row r="41" spans="1:11">
      <c r="A41" s="91" t="s">
        <v>27</v>
      </c>
      <c r="B41" s="180" t="s">
        <v>21</v>
      </c>
      <c r="C41" s="91" t="s">
        <v>193</v>
      </c>
      <c r="D41" s="105" t="s">
        <v>134</v>
      </c>
      <c r="E41" s="91" t="s">
        <v>128</v>
      </c>
    </row>
    <row r="42" spans="1:11">
      <c r="A42" s="28" t="s">
        <v>247</v>
      </c>
      <c r="B42" s="181" t="s">
        <v>249</v>
      </c>
      <c r="C42" s="64">
        <f>50*SUM(C3:C6)/1000</f>
        <v>0</v>
      </c>
      <c r="D42" s="55"/>
      <c r="E42" s="65">
        <f>C42*D42*24*365</f>
        <v>0</v>
      </c>
      <c r="F42" s="5" t="s">
        <v>95</v>
      </c>
      <c r="G42" s="5" t="s">
        <v>96</v>
      </c>
      <c r="K42" s="130"/>
    </row>
    <row r="43" spans="1:11">
      <c r="A43" s="91" t="s">
        <v>30</v>
      </c>
      <c r="B43" s="180" t="s">
        <v>21</v>
      </c>
      <c r="C43" s="91" t="s">
        <v>193</v>
      </c>
      <c r="D43" s="105" t="s">
        <v>134</v>
      </c>
      <c r="E43" s="91" t="s">
        <v>128</v>
      </c>
    </row>
    <row r="44" spans="1:11">
      <c r="A44" s="28" t="s">
        <v>25</v>
      </c>
      <c r="B44" s="181" t="s">
        <v>344</v>
      </c>
      <c r="C44" s="64">
        <f>AvgCableLengthGPON*SUM(TotalGuestRoomONTCount+C23+C19+C15)</f>
        <v>0</v>
      </c>
      <c r="D44" s="56"/>
      <c r="E44" s="65">
        <f t="shared" si="0"/>
        <v>0</v>
      </c>
    </row>
    <row r="45" spans="1:11">
      <c r="A45" s="28" t="s">
        <v>26</v>
      </c>
      <c r="B45" s="181" t="s">
        <v>345</v>
      </c>
      <c r="C45" s="64">
        <f>750*NumberIDFs</f>
        <v>0</v>
      </c>
      <c r="D45" s="56"/>
      <c r="E45" s="65">
        <f t="shared" si="0"/>
        <v>0</v>
      </c>
      <c r="F45" s="5" t="s">
        <v>79</v>
      </c>
    </row>
    <row r="46" spans="1:11">
      <c r="A46" s="28" t="s">
        <v>336</v>
      </c>
      <c r="B46" s="181" t="s">
        <v>216</v>
      </c>
      <c r="C46" s="64">
        <f>ROUNDUP((C15+C19+C23+TotalGuestRoomONTCount)/12,0)</f>
        <v>0</v>
      </c>
      <c r="D46" s="56"/>
      <c r="E46" s="65">
        <f t="shared" si="0"/>
        <v>0</v>
      </c>
      <c r="F46" s="5" t="s">
        <v>84</v>
      </c>
    </row>
    <row r="47" spans="1:11">
      <c r="A47" s="28" t="s">
        <v>85</v>
      </c>
      <c r="B47" s="181" t="s">
        <v>217</v>
      </c>
      <c r="C47" s="64">
        <f>ROUNDUP(SUM(C15+C19+C23+TotalGuestRoomONTCount)/6,0)</f>
        <v>0</v>
      </c>
      <c r="D47" s="56"/>
      <c r="E47" s="65">
        <f t="shared" si="0"/>
        <v>0</v>
      </c>
      <c r="F47" s="5" t="s">
        <v>83</v>
      </c>
    </row>
    <row r="48" spans="1:11">
      <c r="A48" s="28" t="s">
        <v>218</v>
      </c>
      <c r="B48" s="181" t="s">
        <v>219</v>
      </c>
      <c r="C48" s="64">
        <f>SUM(C3:C6)</f>
        <v>0</v>
      </c>
      <c r="D48" s="56"/>
      <c r="E48" s="65">
        <f t="shared" si="0"/>
        <v>0</v>
      </c>
      <c r="F48" s="5" t="s">
        <v>80</v>
      </c>
    </row>
    <row r="49" spans="1:8">
      <c r="A49" s="28" t="s">
        <v>337</v>
      </c>
      <c r="B49" s="181" t="s">
        <v>220</v>
      </c>
      <c r="C49" s="64">
        <f>C48+(SUM(C15+C19+C23+TotalGuestRoomONTCount)*2)</f>
        <v>0</v>
      </c>
      <c r="D49" s="56"/>
      <c r="E49" s="65">
        <f t="shared" si="0"/>
        <v>0</v>
      </c>
      <c r="F49" s="5" t="s">
        <v>81</v>
      </c>
    </row>
    <row r="50" spans="1:8">
      <c r="A50" s="28" t="s">
        <v>56</v>
      </c>
      <c r="B50" s="181" t="s">
        <v>338</v>
      </c>
      <c r="C50" s="14"/>
      <c r="D50" s="36"/>
      <c r="E50" s="55">
        <v>0</v>
      </c>
      <c r="F50" s="5" t="s">
        <v>82</v>
      </c>
    </row>
    <row r="51" spans="1:8">
      <c r="A51" s="91" t="s">
        <v>31</v>
      </c>
      <c r="B51" s="180" t="s">
        <v>21</v>
      </c>
      <c r="C51" s="91" t="s">
        <v>193</v>
      </c>
      <c r="D51" s="105" t="s">
        <v>134</v>
      </c>
      <c r="E51" s="91" t="s">
        <v>128</v>
      </c>
    </row>
    <row r="52" spans="1:8">
      <c r="A52" s="28" t="s">
        <v>39</v>
      </c>
      <c r="B52" s="181" t="s">
        <v>339</v>
      </c>
      <c r="C52" s="64">
        <f>ROUNDUP((C44/1.5)/10,0)</f>
        <v>0</v>
      </c>
      <c r="D52" s="55"/>
      <c r="E52" s="65">
        <f t="shared" si="0"/>
        <v>0</v>
      </c>
      <c r="F52" s="5" t="s">
        <v>86</v>
      </c>
      <c r="H52" s="129"/>
    </row>
    <row r="53" spans="1:8">
      <c r="A53" s="28" t="s">
        <v>35</v>
      </c>
      <c r="B53" s="181" t="s">
        <v>340</v>
      </c>
      <c r="C53" s="64">
        <f>IFERROR(ROUNDUP(C44/(NumberFloors*2),0),0)</f>
        <v>0</v>
      </c>
      <c r="D53" s="55"/>
      <c r="E53" s="65">
        <f t="shared" si="0"/>
        <v>0</v>
      </c>
    </row>
    <row r="54" spans="1:8">
      <c r="A54" s="28" t="s">
        <v>51</v>
      </c>
      <c r="B54" s="181" t="s">
        <v>221</v>
      </c>
      <c r="C54" s="73">
        <f>C44</f>
        <v>0</v>
      </c>
      <c r="D54" s="55"/>
      <c r="E54" s="65">
        <f t="shared" si="0"/>
        <v>0</v>
      </c>
    </row>
    <row r="55" spans="1:8">
      <c r="A55" s="91" t="s">
        <v>32</v>
      </c>
      <c r="B55" s="180" t="s">
        <v>21</v>
      </c>
      <c r="C55" s="91" t="s">
        <v>193</v>
      </c>
      <c r="D55" s="105" t="s">
        <v>134</v>
      </c>
      <c r="E55" s="91" t="s">
        <v>128</v>
      </c>
    </row>
    <row r="56" spans="1:8">
      <c r="A56" s="28" t="s">
        <v>57</v>
      </c>
      <c r="B56" s="181" t="s">
        <v>198</v>
      </c>
      <c r="C56" s="63"/>
      <c r="D56" s="55"/>
      <c r="E56" s="65">
        <f t="shared" si="0"/>
        <v>0</v>
      </c>
      <c r="F56" s="5" t="s">
        <v>52</v>
      </c>
    </row>
    <row r="57" spans="1:8">
      <c r="A57" s="100" t="s">
        <v>341</v>
      </c>
      <c r="B57" s="181" t="s">
        <v>198</v>
      </c>
      <c r="C57" s="63"/>
      <c r="D57" s="55"/>
      <c r="E57" s="65">
        <f t="shared" si="0"/>
        <v>0</v>
      </c>
      <c r="F57" s="5" t="s">
        <v>52</v>
      </c>
    </row>
    <row r="58" spans="1:8">
      <c r="A58" s="28" t="s">
        <v>159</v>
      </c>
      <c r="B58" s="181" t="s">
        <v>198</v>
      </c>
      <c r="C58" s="63"/>
      <c r="D58" s="55"/>
      <c r="E58" s="65">
        <f t="shared" si="0"/>
        <v>0</v>
      </c>
      <c r="F58" s="5" t="s">
        <v>52</v>
      </c>
    </row>
    <row r="59" spans="1:8">
      <c r="A59" s="28" t="s">
        <v>160</v>
      </c>
      <c r="B59" s="181" t="s">
        <v>198</v>
      </c>
      <c r="C59" s="63"/>
      <c r="D59" s="55"/>
      <c r="E59" s="65">
        <f t="shared" si="0"/>
        <v>0</v>
      </c>
      <c r="F59" s="5" t="s">
        <v>52</v>
      </c>
    </row>
    <row r="60" spans="1:8">
      <c r="A60" s="28" t="s">
        <v>76</v>
      </c>
      <c r="B60" s="181" t="s">
        <v>198</v>
      </c>
      <c r="C60" s="63"/>
      <c r="D60" s="55"/>
      <c r="E60" s="65">
        <f>C60*D60</f>
        <v>0</v>
      </c>
      <c r="F60" s="5" t="s">
        <v>52</v>
      </c>
    </row>
    <row r="61" spans="1:8">
      <c r="A61" s="28" t="s">
        <v>189</v>
      </c>
      <c r="B61" s="181" t="s">
        <v>198</v>
      </c>
      <c r="C61" s="63"/>
      <c r="D61" s="55"/>
      <c r="E61" s="65">
        <f>C61*D61</f>
        <v>0</v>
      </c>
      <c r="F61" s="5" t="s">
        <v>52</v>
      </c>
    </row>
    <row r="62" spans="1:8">
      <c r="A62" s="28" t="s">
        <v>77</v>
      </c>
      <c r="B62" s="181" t="s">
        <v>198</v>
      </c>
      <c r="C62" s="63"/>
      <c r="D62" s="55"/>
      <c r="E62" s="65">
        <f>C62*D62</f>
        <v>0</v>
      </c>
      <c r="F62" s="5" t="s">
        <v>52</v>
      </c>
    </row>
    <row r="63" spans="1:8">
      <c r="A63" s="28" t="s">
        <v>342</v>
      </c>
      <c r="B63" s="181" t="s">
        <v>198</v>
      </c>
      <c r="C63" s="63"/>
      <c r="D63" s="55"/>
      <c r="E63" s="65">
        <f>C63*D63</f>
        <v>0</v>
      </c>
      <c r="F63" s="5" t="s">
        <v>52</v>
      </c>
    </row>
    <row r="64" spans="1:8">
      <c r="A64" s="28" t="s">
        <v>161</v>
      </c>
      <c r="B64" s="181" t="s">
        <v>198</v>
      </c>
      <c r="C64" s="63"/>
      <c r="D64" s="55"/>
      <c r="E64" s="65">
        <f>C64*D64</f>
        <v>0</v>
      </c>
      <c r="F64" s="5" t="s">
        <v>52</v>
      </c>
    </row>
    <row r="65" spans="1:5">
      <c r="A65" s="140"/>
      <c r="B65" s="183"/>
      <c r="C65" s="133"/>
      <c r="D65" s="153" t="s">
        <v>99</v>
      </c>
      <c r="E65" s="106">
        <f>SUM(E3:E64)</f>
        <v>0</v>
      </c>
    </row>
    <row r="66" spans="1:5">
      <c r="A66" s="140"/>
      <c r="B66" s="183"/>
      <c r="C66" s="133"/>
      <c r="D66" s="133"/>
      <c r="E66" s="137"/>
    </row>
    <row r="67" spans="1:5">
      <c r="A67" s="81" t="s">
        <v>113</v>
      </c>
      <c r="B67" s="184"/>
      <c r="C67" s="135"/>
      <c r="D67" s="154" t="s">
        <v>190</v>
      </c>
      <c r="E67" s="74">
        <f>SUM(E56:E64)</f>
        <v>0</v>
      </c>
    </row>
    <row r="68" spans="1:5">
      <c r="A68" s="92" t="s">
        <v>180</v>
      </c>
      <c r="B68" s="184"/>
      <c r="C68" s="135"/>
      <c r="D68" s="154" t="s">
        <v>191</v>
      </c>
      <c r="E68" s="74">
        <f>SUM(E3:E13)+E15+E19+E23+SUM(E27:E28)+SUM(E34:E37)</f>
        <v>0</v>
      </c>
    </row>
    <row r="69" spans="1:5">
      <c r="A69" s="102" t="s">
        <v>115</v>
      </c>
      <c r="B69" s="184"/>
      <c r="C69" s="135"/>
      <c r="D69" s="154" t="s">
        <v>192</v>
      </c>
      <c r="E69" s="74">
        <f>SUM(E52:E54)+SUM(E44:E50)+SUM(E42:E42)+SUM(E35:E37)+E32+E31+E30+E25+E21+E17</f>
        <v>0</v>
      </c>
    </row>
    <row r="70" spans="1:5">
      <c r="A70" s="94" t="s">
        <v>181</v>
      </c>
      <c r="B70" s="184"/>
      <c r="C70" s="135"/>
      <c r="D70" s="154" t="s">
        <v>267</v>
      </c>
      <c r="E70" s="75">
        <f>SUM(E38:E40)</f>
        <v>0</v>
      </c>
    </row>
    <row r="71" spans="1:5">
      <c r="A71" s="95" t="s">
        <v>186</v>
      </c>
      <c r="B71" s="184"/>
      <c r="C71" s="135"/>
      <c r="D71" s="133"/>
      <c r="E71" s="138"/>
    </row>
    <row r="72" spans="1:5">
      <c r="A72" s="141"/>
      <c r="B72" s="185"/>
      <c r="C72" s="136"/>
      <c r="D72" s="136"/>
      <c r="E72" s="139"/>
    </row>
    <row r="73" spans="1:5" s="128" customFormat="1">
      <c r="A73" s="131"/>
      <c r="B73" s="186"/>
    </row>
    <row r="74" spans="1:5" s="128" customFormat="1">
      <c r="A74" s="131"/>
      <c r="B74" s="186"/>
    </row>
    <row r="75" spans="1:5" s="128" customFormat="1">
      <c r="A75" s="131"/>
      <c r="B75" s="186"/>
    </row>
    <row r="76" spans="1:5" s="128" customFormat="1">
      <c r="A76" s="131"/>
      <c r="B76" s="186"/>
    </row>
    <row r="77" spans="1:5" s="128" customFormat="1">
      <c r="A77" s="131"/>
      <c r="B77" s="186"/>
    </row>
    <row r="78" spans="1:5" s="128" customFormat="1">
      <c r="A78" s="131"/>
      <c r="B78" s="186"/>
    </row>
    <row r="79" spans="1:5" s="128" customFormat="1">
      <c r="A79" s="131"/>
      <c r="B79" s="186"/>
    </row>
    <row r="80" spans="1:5" s="128" customFormat="1">
      <c r="A80" s="131"/>
      <c r="B80" s="186"/>
    </row>
    <row r="81" spans="1:2" s="128" customFormat="1">
      <c r="A81" s="131"/>
      <c r="B81" s="186"/>
    </row>
    <row r="82" spans="1:2" s="128" customFormat="1">
      <c r="A82" s="131"/>
      <c r="B82" s="186"/>
    </row>
    <row r="83" spans="1:2" s="128" customFormat="1">
      <c r="A83" s="131"/>
      <c r="B83" s="186"/>
    </row>
    <row r="84" spans="1:2" s="128" customFormat="1">
      <c r="A84" s="131"/>
      <c r="B84" s="186"/>
    </row>
    <row r="85" spans="1:2" s="128" customFormat="1">
      <c r="A85" s="131"/>
      <c r="B85" s="186"/>
    </row>
    <row r="86" spans="1:2" s="128" customFormat="1">
      <c r="A86" s="131"/>
      <c r="B86" s="186"/>
    </row>
    <row r="87" spans="1:2" s="128" customFormat="1">
      <c r="A87" s="131"/>
      <c r="B87" s="186"/>
    </row>
    <row r="88" spans="1:2" s="128" customFormat="1">
      <c r="A88" s="131"/>
      <c r="B88" s="186"/>
    </row>
    <row r="89" spans="1:2" s="128" customFormat="1">
      <c r="A89" s="131"/>
      <c r="B89" s="186"/>
    </row>
    <row r="90" spans="1:2" s="128" customFormat="1">
      <c r="A90" s="131"/>
      <c r="B90" s="186"/>
    </row>
    <row r="91" spans="1:2" s="128" customFormat="1">
      <c r="A91" s="131"/>
      <c r="B91" s="186"/>
    </row>
    <row r="92" spans="1:2" s="128" customFormat="1">
      <c r="A92" s="131"/>
      <c r="B92" s="186"/>
    </row>
    <row r="93" spans="1:2" s="128" customFormat="1">
      <c r="A93" s="131"/>
      <c r="B93" s="186"/>
    </row>
    <row r="94" spans="1:2" s="128" customFormat="1">
      <c r="A94" s="131"/>
      <c r="B94" s="186"/>
    </row>
    <row r="95" spans="1:2" s="128" customFormat="1">
      <c r="A95" s="131"/>
      <c r="B95" s="186"/>
    </row>
    <row r="96" spans="1:2" s="128" customFormat="1">
      <c r="A96" s="131"/>
      <c r="B96" s="186"/>
    </row>
    <row r="97" spans="1:2" s="128" customFormat="1">
      <c r="A97" s="131"/>
      <c r="B97" s="186"/>
    </row>
    <row r="98" spans="1:2" s="128" customFormat="1">
      <c r="A98" s="131"/>
      <c r="B98" s="186"/>
    </row>
    <row r="99" spans="1:2" s="128" customFormat="1">
      <c r="A99" s="131"/>
      <c r="B99" s="186"/>
    </row>
    <row r="100" spans="1:2" s="128" customFormat="1">
      <c r="A100" s="131"/>
      <c r="B100" s="186"/>
    </row>
    <row r="101" spans="1:2" s="128" customFormat="1">
      <c r="A101" s="131"/>
      <c r="B101" s="186"/>
    </row>
    <row r="102" spans="1:2" s="128" customFormat="1">
      <c r="A102" s="131"/>
      <c r="B102" s="186"/>
    </row>
    <row r="103" spans="1:2" s="128" customFormat="1">
      <c r="A103" s="131"/>
      <c r="B103" s="186"/>
    </row>
    <row r="104" spans="1:2" s="128" customFormat="1">
      <c r="A104" s="131"/>
      <c r="B104" s="186"/>
    </row>
    <row r="105" spans="1:2" s="128" customFormat="1">
      <c r="A105" s="131"/>
      <c r="B105" s="186"/>
    </row>
    <row r="106" spans="1:2" s="128" customFormat="1">
      <c r="A106" s="131"/>
      <c r="B106" s="186"/>
    </row>
    <row r="107" spans="1:2" s="128" customFormat="1">
      <c r="A107" s="131"/>
      <c r="B107" s="186"/>
    </row>
    <row r="108" spans="1:2" s="128" customFormat="1">
      <c r="A108" s="131"/>
      <c r="B108" s="186"/>
    </row>
    <row r="109" spans="1:2" s="128" customFormat="1">
      <c r="A109" s="131"/>
      <c r="B109" s="186"/>
    </row>
    <row r="110" spans="1:2" s="128" customFormat="1">
      <c r="A110" s="131"/>
      <c r="B110" s="186"/>
    </row>
    <row r="111" spans="1:2" s="128" customFormat="1">
      <c r="A111" s="131"/>
      <c r="B111" s="186"/>
    </row>
    <row r="112" spans="1:2" s="128" customFormat="1">
      <c r="A112" s="131"/>
      <c r="B112" s="186"/>
    </row>
    <row r="113" spans="1:2" s="128" customFormat="1">
      <c r="A113" s="131"/>
      <c r="B113" s="186"/>
    </row>
    <row r="114" spans="1:2" s="128" customFormat="1">
      <c r="A114" s="131"/>
      <c r="B114" s="186"/>
    </row>
    <row r="115" spans="1:2" s="128" customFormat="1">
      <c r="A115" s="131"/>
      <c r="B115" s="186"/>
    </row>
    <row r="116" spans="1:2" s="128" customFormat="1">
      <c r="A116" s="131"/>
      <c r="B116" s="186"/>
    </row>
    <row r="117" spans="1:2" s="128" customFormat="1">
      <c r="A117" s="131"/>
      <c r="B117" s="186"/>
    </row>
    <row r="118" spans="1:2" s="128" customFormat="1">
      <c r="A118" s="131"/>
      <c r="B118" s="186"/>
    </row>
    <row r="119" spans="1:2" s="128" customFormat="1">
      <c r="A119" s="131"/>
      <c r="B119" s="186"/>
    </row>
    <row r="120" spans="1:2" s="128" customFormat="1">
      <c r="A120" s="131"/>
      <c r="B120" s="186"/>
    </row>
    <row r="121" spans="1:2" s="128" customFormat="1">
      <c r="A121" s="131"/>
      <c r="B121" s="186"/>
    </row>
    <row r="122" spans="1:2" s="128" customFormat="1">
      <c r="A122" s="131"/>
      <c r="B122" s="186"/>
    </row>
    <row r="123" spans="1:2" s="128" customFormat="1">
      <c r="A123" s="131"/>
      <c r="B123" s="186"/>
    </row>
    <row r="124" spans="1:2" s="128" customFormat="1">
      <c r="A124" s="131"/>
      <c r="B124" s="186"/>
    </row>
    <row r="125" spans="1:2" s="128" customFormat="1">
      <c r="A125" s="131"/>
      <c r="B125" s="186"/>
    </row>
    <row r="126" spans="1:2" s="128" customFormat="1">
      <c r="A126" s="131"/>
      <c r="B126" s="186"/>
    </row>
    <row r="127" spans="1:2" s="128" customFormat="1">
      <c r="A127" s="131"/>
      <c r="B127" s="186"/>
    </row>
    <row r="128" spans="1:2" s="128" customFormat="1">
      <c r="A128" s="131"/>
      <c r="B128" s="186"/>
    </row>
    <row r="129" spans="1:2" s="128" customFormat="1">
      <c r="A129" s="131"/>
      <c r="B129" s="186"/>
    </row>
    <row r="130" spans="1:2" s="128" customFormat="1">
      <c r="A130" s="131"/>
      <c r="B130" s="186"/>
    </row>
    <row r="131" spans="1:2" s="128" customFormat="1">
      <c r="A131" s="131"/>
      <c r="B131" s="186"/>
    </row>
    <row r="132" spans="1:2" s="128" customFormat="1">
      <c r="A132" s="131"/>
      <c r="B132" s="186"/>
    </row>
    <row r="133" spans="1:2" s="128" customFormat="1">
      <c r="A133" s="131"/>
      <c r="B133" s="186"/>
    </row>
    <row r="134" spans="1:2" s="128" customFormat="1">
      <c r="A134" s="131"/>
      <c r="B134" s="186"/>
    </row>
    <row r="135" spans="1:2" s="128" customFormat="1">
      <c r="A135" s="131"/>
      <c r="B135" s="186"/>
    </row>
    <row r="136" spans="1:2" s="128" customFormat="1">
      <c r="A136" s="131"/>
      <c r="B136" s="186"/>
    </row>
    <row r="137" spans="1:2" s="128" customFormat="1">
      <c r="A137" s="131"/>
      <c r="B137" s="186"/>
    </row>
    <row r="138" spans="1:2" s="128" customFormat="1">
      <c r="A138" s="131"/>
      <c r="B138" s="186"/>
    </row>
    <row r="139" spans="1:2" s="128" customFormat="1">
      <c r="A139" s="131"/>
      <c r="B139" s="186"/>
    </row>
    <row r="140" spans="1:2" s="128" customFormat="1">
      <c r="A140" s="131"/>
      <c r="B140" s="186"/>
    </row>
    <row r="141" spans="1:2" s="128" customFormat="1">
      <c r="A141" s="131"/>
      <c r="B141" s="186"/>
    </row>
    <row r="142" spans="1:2" s="128" customFormat="1">
      <c r="A142" s="131"/>
      <c r="B142" s="186"/>
    </row>
    <row r="143" spans="1:2" s="128" customFormat="1">
      <c r="A143" s="131"/>
      <c r="B143" s="186"/>
    </row>
    <row r="144" spans="1:2" s="128" customFormat="1">
      <c r="A144" s="131"/>
      <c r="B144" s="186"/>
    </row>
    <row r="145" spans="1:2" s="128" customFormat="1">
      <c r="A145" s="131"/>
      <c r="B145" s="186"/>
    </row>
    <row r="146" spans="1:2" s="128" customFormat="1">
      <c r="A146" s="131"/>
      <c r="B146" s="186"/>
    </row>
    <row r="147" spans="1:2" s="128" customFormat="1">
      <c r="A147" s="131"/>
      <c r="B147" s="186"/>
    </row>
    <row r="148" spans="1:2" s="128" customFormat="1">
      <c r="A148" s="131"/>
      <c r="B148" s="186"/>
    </row>
    <row r="149" spans="1:2" s="128" customFormat="1">
      <c r="A149" s="131"/>
      <c r="B149" s="186"/>
    </row>
    <row r="150" spans="1:2" s="128" customFormat="1">
      <c r="A150" s="131"/>
      <c r="B150" s="186"/>
    </row>
    <row r="151" spans="1:2" s="128" customFormat="1">
      <c r="A151" s="131"/>
      <c r="B151" s="186"/>
    </row>
    <row r="152" spans="1:2" s="128" customFormat="1">
      <c r="A152" s="131"/>
      <c r="B152" s="186"/>
    </row>
    <row r="153" spans="1:2" s="128" customFormat="1">
      <c r="A153" s="131"/>
      <c r="B153" s="186"/>
    </row>
    <row r="154" spans="1:2" s="128" customFormat="1">
      <c r="A154" s="131"/>
      <c r="B154" s="186"/>
    </row>
    <row r="155" spans="1:2" s="128" customFormat="1">
      <c r="A155" s="131"/>
      <c r="B155" s="186"/>
    </row>
    <row r="156" spans="1:2" s="128" customFormat="1">
      <c r="A156" s="131"/>
      <c r="B156" s="186"/>
    </row>
    <row r="157" spans="1:2" s="128" customFormat="1">
      <c r="A157" s="131"/>
      <c r="B157" s="186"/>
    </row>
    <row r="158" spans="1:2" s="128" customFormat="1">
      <c r="A158" s="131"/>
      <c r="B158" s="186"/>
    </row>
    <row r="159" spans="1:2" s="128" customFormat="1">
      <c r="A159" s="131"/>
      <c r="B159" s="186"/>
    </row>
    <row r="160" spans="1:2" s="128" customFormat="1">
      <c r="A160" s="131"/>
      <c r="B160" s="186"/>
    </row>
    <row r="161" spans="1:2" s="128" customFormat="1">
      <c r="A161" s="131"/>
      <c r="B161" s="186"/>
    </row>
    <row r="162" spans="1:2" s="128" customFormat="1">
      <c r="A162" s="131"/>
      <c r="B162" s="186"/>
    </row>
    <row r="163" spans="1:2" s="128" customFormat="1">
      <c r="A163" s="131"/>
      <c r="B163" s="186"/>
    </row>
    <row r="164" spans="1:2" s="128" customFormat="1">
      <c r="A164" s="131"/>
      <c r="B164" s="186"/>
    </row>
    <row r="165" spans="1:2" s="128" customFormat="1">
      <c r="A165" s="131"/>
      <c r="B165" s="186"/>
    </row>
    <row r="166" spans="1:2" s="128" customFormat="1">
      <c r="A166" s="131"/>
      <c r="B166" s="186"/>
    </row>
    <row r="167" spans="1:2" s="128" customFormat="1">
      <c r="A167" s="131"/>
      <c r="B167" s="186"/>
    </row>
    <row r="168" spans="1:2" s="128" customFormat="1">
      <c r="A168" s="131"/>
      <c r="B168" s="186"/>
    </row>
    <row r="169" spans="1:2" s="128" customFormat="1">
      <c r="A169" s="131"/>
      <c r="B169" s="186"/>
    </row>
    <row r="170" spans="1:2" s="128" customFormat="1">
      <c r="A170" s="131"/>
      <c r="B170" s="186"/>
    </row>
    <row r="171" spans="1:2" s="128" customFormat="1">
      <c r="A171" s="131"/>
      <c r="B171" s="186"/>
    </row>
    <row r="172" spans="1:2" s="128" customFormat="1">
      <c r="A172" s="131"/>
      <c r="B172" s="186"/>
    </row>
    <row r="173" spans="1:2" s="128" customFormat="1">
      <c r="A173" s="131"/>
      <c r="B173" s="186"/>
    </row>
    <row r="174" spans="1:2" s="128" customFormat="1">
      <c r="A174" s="131"/>
      <c r="B174" s="186"/>
    </row>
    <row r="175" spans="1:2" s="128" customFormat="1">
      <c r="A175" s="131"/>
      <c r="B175" s="186"/>
    </row>
    <row r="176" spans="1:2" s="128" customFormat="1">
      <c r="A176" s="131"/>
      <c r="B176" s="186"/>
    </row>
    <row r="177" spans="1:2" s="128" customFormat="1">
      <c r="A177" s="131"/>
      <c r="B177" s="186"/>
    </row>
    <row r="178" spans="1:2" s="128" customFormat="1">
      <c r="A178" s="131"/>
      <c r="B178" s="186"/>
    </row>
    <row r="179" spans="1:2" s="128" customFormat="1">
      <c r="A179" s="131"/>
      <c r="B179" s="186"/>
    </row>
    <row r="180" spans="1:2" s="128" customFormat="1">
      <c r="A180" s="131"/>
      <c r="B180" s="186"/>
    </row>
    <row r="181" spans="1:2" s="128" customFormat="1">
      <c r="A181" s="131"/>
      <c r="B181" s="186"/>
    </row>
    <row r="182" spans="1:2" s="128" customFormat="1">
      <c r="A182" s="131"/>
      <c r="B182" s="186"/>
    </row>
    <row r="183" spans="1:2" s="128" customFormat="1">
      <c r="A183" s="131"/>
      <c r="B183" s="186"/>
    </row>
    <row r="184" spans="1:2" s="128" customFormat="1">
      <c r="A184" s="131"/>
      <c r="B184" s="186"/>
    </row>
    <row r="185" spans="1:2" s="128" customFormat="1">
      <c r="A185" s="131"/>
      <c r="B185" s="186"/>
    </row>
    <row r="186" spans="1:2" s="128" customFormat="1">
      <c r="A186" s="131"/>
      <c r="B186" s="186"/>
    </row>
    <row r="187" spans="1:2" s="128" customFormat="1">
      <c r="A187" s="131"/>
      <c r="B187" s="186"/>
    </row>
    <row r="188" spans="1:2" s="128" customFormat="1">
      <c r="A188" s="131"/>
      <c r="B188" s="186"/>
    </row>
    <row r="189" spans="1:2" s="128" customFormat="1">
      <c r="A189" s="131"/>
      <c r="B189" s="186"/>
    </row>
    <row r="190" spans="1:2" s="128" customFormat="1">
      <c r="A190" s="131"/>
      <c r="B190" s="186"/>
    </row>
    <row r="191" spans="1:2" s="128" customFormat="1">
      <c r="A191" s="131"/>
      <c r="B191" s="186"/>
    </row>
    <row r="192" spans="1:2" s="128" customFormat="1">
      <c r="A192" s="131"/>
      <c r="B192" s="186"/>
    </row>
    <row r="193" spans="1:2" s="128" customFormat="1">
      <c r="A193" s="131"/>
      <c r="B193" s="186"/>
    </row>
    <row r="194" spans="1:2" s="128" customFormat="1">
      <c r="A194" s="131"/>
      <c r="B194" s="186"/>
    </row>
    <row r="195" spans="1:2" s="128" customFormat="1">
      <c r="A195" s="131"/>
      <c r="B195" s="186"/>
    </row>
    <row r="196" spans="1:2" s="128" customFormat="1">
      <c r="A196" s="131"/>
      <c r="B196" s="186"/>
    </row>
    <row r="197" spans="1:2" s="128" customFormat="1">
      <c r="A197" s="131"/>
      <c r="B197" s="186"/>
    </row>
    <row r="198" spans="1:2" s="128" customFormat="1">
      <c r="A198" s="131"/>
      <c r="B198" s="186"/>
    </row>
    <row r="199" spans="1:2" s="128" customFormat="1">
      <c r="A199" s="131"/>
      <c r="B199" s="186"/>
    </row>
    <row r="200" spans="1:2" s="128" customFormat="1">
      <c r="A200" s="131"/>
      <c r="B200" s="186"/>
    </row>
    <row r="201" spans="1:2" s="128" customFormat="1">
      <c r="A201" s="131"/>
      <c r="B201" s="186"/>
    </row>
    <row r="202" spans="1:2" s="128" customFormat="1">
      <c r="A202" s="131"/>
      <c r="B202" s="186"/>
    </row>
    <row r="203" spans="1:2" s="128" customFormat="1">
      <c r="A203" s="131"/>
      <c r="B203" s="186"/>
    </row>
    <row r="204" spans="1:2" s="128" customFormat="1">
      <c r="A204" s="131"/>
      <c r="B204" s="186"/>
    </row>
    <row r="205" spans="1:2" s="128" customFormat="1">
      <c r="A205" s="131"/>
      <c r="B205" s="186"/>
    </row>
    <row r="206" spans="1:2" s="128" customFormat="1">
      <c r="A206" s="131"/>
      <c r="B206" s="186"/>
    </row>
    <row r="207" spans="1:2" s="128" customFormat="1">
      <c r="A207" s="131"/>
      <c r="B207" s="186"/>
    </row>
    <row r="208" spans="1:2" s="128" customFormat="1">
      <c r="A208" s="131"/>
      <c r="B208" s="186"/>
    </row>
    <row r="209" spans="1:2" s="128" customFormat="1">
      <c r="A209" s="131"/>
      <c r="B209" s="186"/>
    </row>
    <row r="210" spans="1:2" s="128" customFormat="1">
      <c r="A210" s="131"/>
      <c r="B210" s="186"/>
    </row>
  </sheetData>
  <pageMargins left="0.7" right="0.7" top="0.75" bottom="0.75" header="0.3" footer="0.3"/>
  <pageSetup orientation="portrait" r:id="rId1"/>
  <ignoredErrors>
    <ignoredError sqref="C4" formula="1"/>
    <ignoredError sqref="E62" evalError="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53"/>
  <sheetViews>
    <sheetView zoomScaleNormal="100" workbookViewId="0">
      <pane xSplit="1" topLeftCell="B1" activePane="topRight" state="frozen"/>
      <selection activeCell="A21" sqref="A21"/>
      <selection pane="topRight"/>
    </sheetView>
  </sheetViews>
  <sheetFormatPr baseColWidth="10" defaultColWidth="8.83203125" defaultRowHeight="15"/>
  <cols>
    <col min="1" max="1" width="44" customWidth="1"/>
    <col min="2" max="2" width="56.5" customWidth="1"/>
    <col min="3" max="3" width="31.5" customWidth="1"/>
    <col min="4" max="4" width="24.83203125" customWidth="1"/>
    <col min="5" max="5" width="26.5" customWidth="1"/>
    <col min="6" max="6" width="2.83203125" hidden="1" customWidth="1"/>
    <col min="7" max="7" width="4" hidden="1" customWidth="1"/>
    <col min="8" max="8" width="97.5" style="127" bestFit="1" customWidth="1"/>
    <col min="9" max="9" width="26.83203125" style="127" bestFit="1" customWidth="1"/>
    <col min="10" max="10" width="8.83203125" style="127"/>
    <col min="11" max="11" width="75.5" style="127" bestFit="1" customWidth="1"/>
    <col min="12" max="73" width="8.83203125" style="127"/>
  </cols>
  <sheetData>
    <row r="1" spans="1:7">
      <c r="A1" s="82"/>
      <c r="B1" s="83"/>
      <c r="C1" s="97" t="s">
        <v>268</v>
      </c>
      <c r="D1" s="97" t="s">
        <v>268</v>
      </c>
      <c r="E1" s="84"/>
      <c r="F1" s="4" t="s">
        <v>177</v>
      </c>
    </row>
    <row r="2" spans="1:7">
      <c r="A2" s="81" t="s">
        <v>40</v>
      </c>
      <c r="B2" s="81" t="s">
        <v>194</v>
      </c>
      <c r="C2" s="81" t="s">
        <v>10</v>
      </c>
      <c r="D2" s="81" t="s">
        <v>176</v>
      </c>
      <c r="E2" s="81" t="s">
        <v>128</v>
      </c>
    </row>
    <row r="3" spans="1:7" ht="30">
      <c r="A3" s="96" t="s">
        <v>303</v>
      </c>
      <c r="B3" s="96" t="s">
        <v>302</v>
      </c>
      <c r="C3" s="44">
        <f>ROUND((CopperCablePorts/44),0)</f>
        <v>0</v>
      </c>
      <c r="D3" s="57"/>
      <c r="E3" s="66">
        <f t="shared" ref="E3:E8" si="0">C3*D3</f>
        <v>0</v>
      </c>
      <c r="F3" t="s">
        <v>15</v>
      </c>
    </row>
    <row r="4" spans="1:7">
      <c r="A4" s="12" t="s">
        <v>16</v>
      </c>
      <c r="B4" s="12" t="s">
        <v>363</v>
      </c>
      <c r="C4" s="44">
        <f>CopperCablePorts</f>
        <v>0</v>
      </c>
      <c r="D4" s="57"/>
      <c r="E4" s="66">
        <f t="shared" si="0"/>
        <v>0</v>
      </c>
      <c r="F4" t="s">
        <v>17</v>
      </c>
    </row>
    <row r="5" spans="1:7">
      <c r="A5" s="12" t="s">
        <v>233</v>
      </c>
      <c r="B5" s="12" t="s">
        <v>234</v>
      </c>
      <c r="C5" s="44">
        <f>SUM('Hotel Details'!J10:J31)</f>
        <v>0</v>
      </c>
      <c r="D5" s="30"/>
      <c r="E5" s="19"/>
      <c r="F5" t="s">
        <v>14</v>
      </c>
    </row>
    <row r="6" spans="1:7">
      <c r="A6" s="12" t="s">
        <v>18</v>
      </c>
      <c r="B6" s="12" t="s">
        <v>346</v>
      </c>
      <c r="C6" s="44">
        <f>(NumberIDFs)*750</f>
        <v>0</v>
      </c>
      <c r="D6" s="57"/>
      <c r="E6" s="66">
        <f t="shared" si="0"/>
        <v>0</v>
      </c>
      <c r="F6" t="s">
        <v>102</v>
      </c>
    </row>
    <row r="7" spans="1:7">
      <c r="A7" s="18" t="s">
        <v>20</v>
      </c>
      <c r="B7" s="18" t="s">
        <v>199</v>
      </c>
      <c r="C7" s="44">
        <f>EdgeSwitches*4</f>
        <v>0</v>
      </c>
      <c r="D7" s="57"/>
      <c r="E7" s="66">
        <f t="shared" si="0"/>
        <v>0</v>
      </c>
      <c r="F7" t="s">
        <v>166</v>
      </c>
    </row>
    <row r="8" spans="1:7">
      <c r="A8" s="23" t="s">
        <v>223</v>
      </c>
      <c r="B8" s="23" t="s">
        <v>224</v>
      </c>
      <c r="C8" s="44">
        <f>CopperCablePorts*2</f>
        <v>0</v>
      </c>
      <c r="D8" s="57"/>
      <c r="E8" s="66">
        <f t="shared" si="0"/>
        <v>0</v>
      </c>
      <c r="F8" t="s">
        <v>167</v>
      </c>
    </row>
    <row r="9" spans="1:7">
      <c r="A9" s="81" t="s">
        <v>42</v>
      </c>
      <c r="B9" s="81" t="s">
        <v>194</v>
      </c>
      <c r="C9" s="81" t="s">
        <v>264</v>
      </c>
      <c r="D9" s="81" t="s">
        <v>176</v>
      </c>
      <c r="E9" s="81" t="s">
        <v>128</v>
      </c>
    </row>
    <row r="10" spans="1:7">
      <c r="A10" s="28" t="s">
        <v>231</v>
      </c>
      <c r="B10" s="28" t="s">
        <v>232</v>
      </c>
      <c r="C10" s="44">
        <f>(C8/2)</f>
        <v>0</v>
      </c>
      <c r="D10" s="57"/>
      <c r="E10" s="66">
        <f>C10*D10</f>
        <v>0</v>
      </c>
      <c r="F10" t="s">
        <v>168</v>
      </c>
    </row>
    <row r="11" spans="1:7">
      <c r="A11" s="81" t="s">
        <v>41</v>
      </c>
      <c r="B11" s="81" t="s">
        <v>194</v>
      </c>
      <c r="C11" s="81" t="s">
        <v>264</v>
      </c>
      <c r="D11" s="88" t="s">
        <v>176</v>
      </c>
      <c r="E11" s="81" t="s">
        <v>128</v>
      </c>
    </row>
    <row r="12" spans="1:7">
      <c r="A12" s="12" t="s">
        <v>19</v>
      </c>
      <c r="B12" s="12" t="s">
        <v>216</v>
      </c>
      <c r="C12" s="44">
        <f>NumberIDFs*2</f>
        <v>0</v>
      </c>
      <c r="D12" s="57"/>
      <c r="E12" s="66">
        <f>C12*D12</f>
        <v>0</v>
      </c>
      <c r="F12" t="s">
        <v>169</v>
      </c>
    </row>
    <row r="13" spans="1:7">
      <c r="A13" s="90" t="s">
        <v>171</v>
      </c>
      <c r="B13" s="81" t="s">
        <v>194</v>
      </c>
      <c r="C13" s="81" t="s">
        <v>10</v>
      </c>
      <c r="D13" s="88" t="s">
        <v>176</v>
      </c>
      <c r="E13" s="81" t="s">
        <v>128</v>
      </c>
      <c r="F13" s="2"/>
    </row>
    <row r="14" spans="1:7">
      <c r="A14" s="16" t="s">
        <v>123</v>
      </c>
      <c r="B14" s="16" t="s">
        <v>245</v>
      </c>
      <c r="C14" s="17">
        <f>SUM('Hotel Details'!J10:J11, MeetingRoomTotalPortCount,'Hotel Details'!J15:J25,BackofHouseTotalPortCount)</f>
        <v>0</v>
      </c>
      <c r="D14" s="31"/>
      <c r="E14" s="20"/>
      <c r="F14" s="3" t="s">
        <v>172</v>
      </c>
      <c r="G14" s="5" t="s">
        <v>100</v>
      </c>
    </row>
    <row r="15" spans="1:7">
      <c r="A15" s="81" t="s">
        <v>0</v>
      </c>
      <c r="B15" s="81" t="s">
        <v>194</v>
      </c>
      <c r="C15" s="81" t="s">
        <v>263</v>
      </c>
      <c r="D15" s="88" t="s">
        <v>176</v>
      </c>
      <c r="E15" s="81" t="s">
        <v>128</v>
      </c>
    </row>
    <row r="16" spans="1:7">
      <c r="A16" s="12" t="s">
        <v>108</v>
      </c>
      <c r="B16" s="12" t="s">
        <v>230</v>
      </c>
      <c r="C16" s="44">
        <f>ROUNDUP((TotalPortCount/44),0)</f>
        <v>0</v>
      </c>
      <c r="D16" s="57"/>
      <c r="E16" s="66">
        <f>C16*D16</f>
        <v>0</v>
      </c>
      <c r="F16" t="s">
        <v>103</v>
      </c>
    </row>
    <row r="17" spans="1:73">
      <c r="A17" s="12" t="s">
        <v>28</v>
      </c>
      <c r="B17" s="12" t="s">
        <v>347</v>
      </c>
      <c r="C17" s="93" t="s">
        <v>235</v>
      </c>
      <c r="D17" s="30"/>
      <c r="E17" s="66">
        <f>Copper_Maintenance*(E16+E18)</f>
        <v>0</v>
      </c>
      <c r="F17" t="s">
        <v>173</v>
      </c>
    </row>
    <row r="18" spans="1:73">
      <c r="A18" s="12" t="s">
        <v>50</v>
      </c>
      <c r="B18" s="12" t="s">
        <v>229</v>
      </c>
      <c r="C18" s="64">
        <v>1</v>
      </c>
      <c r="D18" s="57"/>
      <c r="E18" s="66">
        <f>C18*D18</f>
        <v>0</v>
      </c>
      <c r="F18" t="s">
        <v>174</v>
      </c>
    </row>
    <row r="19" spans="1:73">
      <c r="A19" s="27" t="s">
        <v>206</v>
      </c>
      <c r="B19" s="12" t="s">
        <v>245</v>
      </c>
      <c r="C19" s="76">
        <f>EdgeSwitches</f>
        <v>0</v>
      </c>
      <c r="D19" s="32"/>
      <c r="E19" s="85"/>
    </row>
    <row r="20" spans="1:73">
      <c r="A20" s="91" t="s">
        <v>31</v>
      </c>
      <c r="B20" s="81" t="s">
        <v>194</v>
      </c>
      <c r="C20" s="81" t="s">
        <v>262</v>
      </c>
      <c r="D20" s="88" t="s">
        <v>176</v>
      </c>
      <c r="E20" s="81" t="s">
        <v>128</v>
      </c>
    </row>
    <row r="21" spans="1:73">
      <c r="A21" s="18" t="s">
        <v>222</v>
      </c>
      <c r="B21" s="18" t="s">
        <v>196</v>
      </c>
      <c r="C21" s="44">
        <f>CablingDistance/10</f>
        <v>0</v>
      </c>
      <c r="D21" s="57"/>
      <c r="E21" s="66">
        <f>C21*D21</f>
        <v>0</v>
      </c>
      <c r="F21" s="11" t="s">
        <v>107</v>
      </c>
    </row>
    <row r="22" spans="1:73">
      <c r="A22" s="18" t="s">
        <v>106</v>
      </c>
      <c r="B22" s="18" t="s">
        <v>195</v>
      </c>
      <c r="C22" s="44">
        <f>CopperCablePorts*AvgCableLengthCopper</f>
        <v>0</v>
      </c>
      <c r="D22" s="57"/>
      <c r="E22" s="66">
        <f>C22*D22</f>
        <v>0</v>
      </c>
      <c r="F22" s="10" t="s">
        <v>105</v>
      </c>
    </row>
    <row r="23" spans="1:73">
      <c r="A23" s="18" t="s">
        <v>36</v>
      </c>
      <c r="B23" s="18" t="s">
        <v>197</v>
      </c>
      <c r="C23" s="44">
        <f>(CablingDistance/1.5)/10</f>
        <v>0</v>
      </c>
      <c r="D23" s="57"/>
      <c r="E23" s="66">
        <f>C23*D23</f>
        <v>0</v>
      </c>
      <c r="F23" t="s">
        <v>104</v>
      </c>
    </row>
    <row r="24" spans="1:73">
      <c r="A24" s="91" t="s">
        <v>32</v>
      </c>
      <c r="B24" s="81" t="s">
        <v>194</v>
      </c>
      <c r="C24" s="81" t="s">
        <v>261</v>
      </c>
      <c r="D24" s="88" t="s">
        <v>176</v>
      </c>
      <c r="E24" s="89" t="s">
        <v>128</v>
      </c>
    </row>
    <row r="25" spans="1:73">
      <c r="A25" s="18" t="s">
        <v>37</v>
      </c>
      <c r="B25" s="18" t="s">
        <v>198</v>
      </c>
      <c r="C25" s="42"/>
      <c r="D25" s="57"/>
      <c r="E25" s="66">
        <f>C25*D25</f>
        <v>0</v>
      </c>
      <c r="F25" s="5" t="s">
        <v>175</v>
      </c>
    </row>
    <row r="26" spans="1:73">
      <c r="A26" s="18" t="s">
        <v>38</v>
      </c>
      <c r="B26" s="18" t="s">
        <v>198</v>
      </c>
      <c r="C26" s="42"/>
      <c r="D26" s="57"/>
      <c r="E26" s="66">
        <f t="shared" ref="E26:E30" si="1">C26*D26</f>
        <v>0</v>
      </c>
      <c r="F26" s="5" t="s">
        <v>52</v>
      </c>
    </row>
    <row r="27" spans="1:73">
      <c r="A27" s="28" t="s">
        <v>162</v>
      </c>
      <c r="B27" s="18" t="s">
        <v>198</v>
      </c>
      <c r="C27" s="42"/>
      <c r="D27" s="57"/>
      <c r="E27" s="66">
        <f t="shared" si="1"/>
        <v>0</v>
      </c>
      <c r="F27" s="5" t="s">
        <v>52</v>
      </c>
    </row>
    <row r="28" spans="1:73">
      <c r="A28" s="28" t="s">
        <v>163</v>
      </c>
      <c r="B28" s="18" t="s">
        <v>198</v>
      </c>
      <c r="C28" s="42"/>
      <c r="D28" s="57"/>
      <c r="E28" s="66">
        <f t="shared" si="1"/>
        <v>0</v>
      </c>
      <c r="F28" s="5" t="s">
        <v>52</v>
      </c>
    </row>
    <row r="29" spans="1:73">
      <c r="A29" s="28" t="s">
        <v>58</v>
      </c>
      <c r="B29" s="18" t="s">
        <v>198</v>
      </c>
      <c r="C29" s="42"/>
      <c r="D29" s="57"/>
      <c r="E29" s="66">
        <f t="shared" si="1"/>
        <v>0</v>
      </c>
      <c r="F29" t="s">
        <v>167</v>
      </c>
    </row>
    <row r="30" spans="1:73">
      <c r="A30" s="18" t="s">
        <v>161</v>
      </c>
      <c r="B30" s="18" t="s">
        <v>198</v>
      </c>
      <c r="C30" s="42"/>
      <c r="D30" s="57"/>
      <c r="E30" s="66">
        <f t="shared" si="1"/>
        <v>0</v>
      </c>
      <c r="F30" s="5" t="s">
        <v>52</v>
      </c>
    </row>
    <row r="31" spans="1:73">
      <c r="A31" s="91" t="s">
        <v>246</v>
      </c>
      <c r="B31" s="81" t="s">
        <v>194</v>
      </c>
      <c r="C31" s="81" t="s">
        <v>258</v>
      </c>
      <c r="D31" s="88" t="s">
        <v>257</v>
      </c>
      <c r="E31" s="81" t="s">
        <v>225</v>
      </c>
      <c r="F31" s="5"/>
    </row>
    <row r="32" spans="1:73" s="8" customFormat="1">
      <c r="A32" s="34" t="s">
        <v>228</v>
      </c>
      <c r="B32" s="34" t="s">
        <v>254</v>
      </c>
      <c r="C32" s="44">
        <f>Switch_Watts*(EdgeSwitches)</f>
        <v>0</v>
      </c>
      <c r="D32" s="57"/>
      <c r="E32" s="66">
        <f>(8760/1000)*SwitchWattage*D32</f>
        <v>0</v>
      </c>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row>
    <row r="33" spans="1:6">
      <c r="A33" s="34" t="s">
        <v>253</v>
      </c>
      <c r="B33" s="34" t="s">
        <v>250</v>
      </c>
      <c r="C33" s="44">
        <f>ROUND(3.41*EdgeSwitches*285,0)</f>
        <v>0</v>
      </c>
      <c r="D33" s="57"/>
      <c r="E33" s="66">
        <f t="shared" ref="E33" si="2">C33*D33</f>
        <v>0</v>
      </c>
      <c r="F33" s="5" t="s">
        <v>95</v>
      </c>
    </row>
    <row r="34" spans="1:6">
      <c r="A34" s="28" t="s">
        <v>266</v>
      </c>
      <c r="B34" s="34" t="s">
        <v>254</v>
      </c>
      <c r="C34" s="44">
        <f>CoreSwitchWattage</f>
        <v>155</v>
      </c>
      <c r="D34" s="107"/>
      <c r="E34" s="66">
        <f>(8760/1000)*C34*D34</f>
        <v>0</v>
      </c>
      <c r="F34" s="5" t="s">
        <v>95</v>
      </c>
    </row>
    <row r="35" spans="1:6">
      <c r="A35" s="142"/>
      <c r="B35" s="143"/>
      <c r="C35" s="133"/>
      <c r="D35" s="108" t="s">
        <v>99</v>
      </c>
      <c r="E35" s="106">
        <f>SUM(E3:E34)</f>
        <v>0</v>
      </c>
      <c r="F35" s="5"/>
    </row>
    <row r="36" spans="1:6">
      <c r="A36" s="144"/>
      <c r="B36" s="143"/>
      <c r="C36" s="133"/>
      <c r="D36" s="133"/>
      <c r="E36" s="137"/>
      <c r="F36" s="5"/>
    </row>
    <row r="37" spans="1:6">
      <c r="A37" s="81" t="s">
        <v>113</v>
      </c>
      <c r="B37" s="133"/>
      <c r="C37" s="133"/>
      <c r="D37" s="21" t="s">
        <v>190</v>
      </c>
      <c r="E37" s="66">
        <f>SUM(E25:E30)</f>
        <v>0</v>
      </c>
      <c r="F37" s="5"/>
    </row>
    <row r="38" spans="1:6">
      <c r="A38" s="92" t="s">
        <v>180</v>
      </c>
      <c r="B38" s="133"/>
      <c r="C38" s="133"/>
      <c r="D38" s="21" t="s">
        <v>191</v>
      </c>
      <c r="E38" s="66">
        <f>SUM(E16:E18)</f>
        <v>0</v>
      </c>
    </row>
    <row r="39" spans="1:6">
      <c r="A39" s="93" t="s">
        <v>115</v>
      </c>
      <c r="B39" s="133"/>
      <c r="C39" s="133"/>
      <c r="D39" s="21" t="s">
        <v>192</v>
      </c>
      <c r="E39" s="66">
        <f>SUM(SUM(E3:E8)+E10+E12+SUM(E21:E23))</f>
        <v>0</v>
      </c>
    </row>
    <row r="40" spans="1:6">
      <c r="A40" s="94" t="s">
        <v>181</v>
      </c>
      <c r="B40" s="133"/>
      <c r="C40" s="133"/>
      <c r="D40" s="21" t="s">
        <v>260</v>
      </c>
      <c r="E40" s="66">
        <f>SUM(E32:E34)</f>
        <v>0</v>
      </c>
    </row>
    <row r="41" spans="1:6">
      <c r="A41" s="95" t="s">
        <v>186</v>
      </c>
      <c r="B41" s="133"/>
      <c r="C41" s="133"/>
      <c r="D41" s="133"/>
      <c r="E41" s="138"/>
    </row>
    <row r="42" spans="1:6">
      <c r="A42" s="145"/>
      <c r="B42" s="136"/>
      <c r="C42" s="136"/>
      <c r="D42" s="136"/>
      <c r="E42" s="139"/>
    </row>
    <row r="43" spans="1:6" s="127" customFormat="1"/>
    <row r="44" spans="1:6" s="127" customFormat="1"/>
    <row r="45" spans="1:6" s="127" customFormat="1"/>
    <row r="46" spans="1:6" s="127" customFormat="1"/>
    <row r="47" spans="1:6" s="127" customFormat="1"/>
    <row r="48" spans="1:6" s="127" customFormat="1"/>
    <row r="49" s="127" customFormat="1"/>
    <row r="50" s="127" customFormat="1"/>
    <row r="51" s="127" customFormat="1"/>
    <row r="52" s="127" customFormat="1"/>
    <row r="53" s="127" customFormat="1"/>
    <row r="54" s="127" customFormat="1"/>
    <row r="55" s="127" customFormat="1"/>
    <row r="56" s="127" customFormat="1"/>
    <row r="57" s="127" customFormat="1"/>
    <row r="58" s="127" customFormat="1"/>
    <row r="59" s="127" customFormat="1"/>
    <row r="60" s="127" customFormat="1"/>
    <row r="61" s="127" customFormat="1"/>
    <row r="62" s="127" customFormat="1"/>
    <row r="63" s="127" customFormat="1"/>
    <row r="64" s="127" customFormat="1"/>
    <row r="65" s="127" customFormat="1"/>
    <row r="66" s="127" customFormat="1"/>
    <row r="67" s="127" customFormat="1"/>
    <row r="68" s="127" customFormat="1"/>
    <row r="69" s="127" customFormat="1"/>
    <row r="70" s="127" customFormat="1"/>
    <row r="71" s="127" customFormat="1"/>
    <row r="72" s="127" customFormat="1"/>
    <row r="73" s="127" customFormat="1"/>
    <row r="74" s="127" customFormat="1"/>
    <row r="75" s="127" customFormat="1"/>
    <row r="76" s="127" customFormat="1"/>
    <row r="77" s="127" customFormat="1"/>
    <row r="78" s="127" customFormat="1"/>
    <row r="79" s="127" customFormat="1"/>
    <row r="80" s="127" customFormat="1"/>
    <row r="81" s="127" customFormat="1"/>
    <row r="82" s="127" customFormat="1"/>
    <row r="83" s="127" customFormat="1"/>
    <row r="84" s="127" customFormat="1"/>
    <row r="85" s="127" customFormat="1"/>
    <row r="86" s="127" customFormat="1"/>
    <row r="87" s="127" customFormat="1"/>
    <row r="88" s="127" customFormat="1"/>
    <row r="89" s="127" customFormat="1"/>
    <row r="90" s="127" customFormat="1"/>
    <row r="91" s="127" customFormat="1"/>
    <row r="92" s="127" customFormat="1"/>
    <row r="93" s="127" customFormat="1"/>
    <row r="94" s="127" customFormat="1"/>
    <row r="95" s="127" customFormat="1"/>
    <row r="96" s="127" customFormat="1"/>
    <row r="97" s="127" customFormat="1"/>
    <row r="98" s="127" customFormat="1"/>
    <row r="99" s="127" customFormat="1"/>
    <row r="100" s="127" customFormat="1"/>
    <row r="101" s="127" customFormat="1"/>
    <row r="102" s="127" customFormat="1"/>
    <row r="103" s="127" customFormat="1"/>
    <row r="104" s="127" customFormat="1"/>
    <row r="105" s="127" customFormat="1"/>
    <row r="106" s="127" customFormat="1"/>
    <row r="107" s="127" customFormat="1"/>
    <row r="108" s="127" customFormat="1"/>
    <row r="109" s="127" customFormat="1"/>
    <row r="110" s="127" customFormat="1"/>
    <row r="111" s="127" customFormat="1"/>
    <row r="112" s="127" customFormat="1"/>
    <row r="113" s="127" customFormat="1"/>
    <row r="114" s="127" customFormat="1"/>
    <row r="115" s="127" customFormat="1"/>
    <row r="116" s="127" customFormat="1"/>
    <row r="117" s="127" customFormat="1"/>
    <row r="118" s="127" customFormat="1"/>
    <row r="119" s="127" customFormat="1"/>
    <row r="120" s="127" customFormat="1"/>
    <row r="121" s="127" customFormat="1"/>
    <row r="122" s="127" customFormat="1"/>
    <row r="123" s="127" customFormat="1"/>
    <row r="124" s="127" customFormat="1"/>
    <row r="125" s="127" customFormat="1"/>
    <row r="126" s="127" customFormat="1"/>
    <row r="127" s="127" customFormat="1"/>
    <row r="128" s="127" customFormat="1"/>
    <row r="129" s="127" customFormat="1"/>
    <row r="130" s="127" customFormat="1"/>
    <row r="131" s="127" customFormat="1"/>
    <row r="132" s="127" customFormat="1"/>
    <row r="133" s="127" customFormat="1"/>
    <row r="134" s="127" customFormat="1"/>
    <row r="135" s="127" customFormat="1"/>
    <row r="136" s="127" customFormat="1"/>
    <row r="137" s="127" customFormat="1"/>
    <row r="138" s="127" customFormat="1"/>
    <row r="139" s="127" customFormat="1"/>
    <row r="140" s="127" customFormat="1"/>
    <row r="141" s="127" customFormat="1"/>
    <row r="142" s="127" customFormat="1"/>
    <row r="143" s="127" customFormat="1"/>
    <row r="144" s="127" customFormat="1"/>
    <row r="145" s="127" customFormat="1"/>
    <row r="146" s="127" customFormat="1"/>
    <row r="147" s="127" customFormat="1"/>
    <row r="148" s="127" customFormat="1"/>
    <row r="149" s="127" customFormat="1"/>
    <row r="150" s="127" customFormat="1"/>
    <row r="151" s="127" customFormat="1"/>
    <row r="152" s="127" customFormat="1"/>
    <row r="153" s="127" customFormat="1"/>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0"/>
  <sheetViews>
    <sheetView zoomScaleNormal="100" workbookViewId="0"/>
  </sheetViews>
  <sheetFormatPr baseColWidth="10" defaultColWidth="8.83203125" defaultRowHeight="15"/>
  <cols>
    <col min="1" max="1" width="52.33203125" customWidth="1"/>
    <col min="2" max="3" width="11.1640625" bestFit="1" customWidth="1"/>
    <col min="4" max="29" width="8.83203125" style="127"/>
  </cols>
  <sheetData>
    <row r="1" spans="1:29" s="8" customFormat="1">
      <c r="A1" s="21" t="s">
        <v>89</v>
      </c>
      <c r="B1" s="81" t="s">
        <v>97</v>
      </c>
      <c r="C1" s="81" t="s">
        <v>98</v>
      </c>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row>
    <row r="2" spans="1:29" s="4" customFormat="1">
      <c r="A2" s="13" t="s">
        <v>0</v>
      </c>
      <c r="B2" s="77">
        <f>TotalElectronicsCopper</f>
        <v>0</v>
      </c>
      <c r="C2" s="66">
        <f>'Fiber Optics (GPON)'!E68</f>
        <v>0</v>
      </c>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row>
    <row r="3" spans="1:29">
      <c r="A3" s="49" t="s">
        <v>87</v>
      </c>
      <c r="B3" s="66">
        <f>TotalInfrastructureCopper</f>
        <v>0</v>
      </c>
      <c r="C3" s="66">
        <f>'Fiber Optics (GPON)'!E69</f>
        <v>0</v>
      </c>
    </row>
    <row r="4" spans="1:29">
      <c r="A4" s="49" t="s">
        <v>88</v>
      </c>
      <c r="B4" s="66">
        <f>TotalLaborCopper</f>
        <v>0</v>
      </c>
      <c r="C4" s="66">
        <f>TotalLaborGPON</f>
        <v>0</v>
      </c>
    </row>
    <row r="5" spans="1:29">
      <c r="A5" s="49" t="s">
        <v>99</v>
      </c>
      <c r="B5" s="66">
        <f>TotalCostCopper</f>
        <v>0</v>
      </c>
      <c r="C5" s="66">
        <f>SUM(C2:C4)</f>
        <v>0</v>
      </c>
    </row>
    <row r="6" spans="1:29" s="8" customFormat="1">
      <c r="A6" s="21" t="s">
        <v>236</v>
      </c>
      <c r="B6" s="81" t="s">
        <v>97</v>
      </c>
      <c r="C6" s="81" t="s">
        <v>98</v>
      </c>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row>
    <row r="7" spans="1:29" s="29" customFormat="1">
      <c r="A7" s="52" t="s">
        <v>237</v>
      </c>
      <c r="B7" s="52">
        <v>5</v>
      </c>
      <c r="C7" s="52">
        <v>5</v>
      </c>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row>
    <row r="8" spans="1:29">
      <c r="A8" s="49" t="s">
        <v>252</v>
      </c>
      <c r="B8" s="66">
        <f>(Copper!E17)*B7</f>
        <v>0</v>
      </c>
      <c r="C8" s="66">
        <f>('Fiber Optics (GPON)'!E12*C7)</f>
        <v>0</v>
      </c>
    </row>
    <row r="9" spans="1:29">
      <c r="A9" s="78" t="s">
        <v>238</v>
      </c>
      <c r="B9" s="66">
        <f>((1-Copper_SLA)*Comparisons!B7)*Comparisons!B2</f>
        <v>0</v>
      </c>
      <c r="C9" s="66">
        <f>((1-GPON_SLA)*C2)*C7</f>
        <v>0</v>
      </c>
    </row>
    <row r="10" spans="1:29">
      <c r="A10" s="49" t="s">
        <v>251</v>
      </c>
      <c r="B10" s="66">
        <f>SUM(Copper!E32:E34)*B7</f>
        <v>0</v>
      </c>
      <c r="C10" s="66">
        <f>SUM('Fiber Optics (GPON)'!E38:E40)*C7</f>
        <v>0</v>
      </c>
    </row>
    <row r="11" spans="1:29">
      <c r="A11" s="147"/>
      <c r="B11" s="148"/>
      <c r="C11" s="138"/>
    </row>
    <row r="12" spans="1:29">
      <c r="A12" s="21" t="s">
        <v>99</v>
      </c>
      <c r="B12" s="80">
        <f>B5+SUM(B8:B10)</f>
        <v>0</v>
      </c>
      <c r="C12" s="80">
        <f>C5+SUM(C8:C10)</f>
        <v>0</v>
      </c>
    </row>
    <row r="13" spans="1:29" s="127" customFormat="1"/>
    <row r="14" spans="1:29" s="127" customFormat="1"/>
    <row r="15" spans="1:29" s="127" customFormat="1"/>
    <row r="16" spans="1:29" s="127" customFormat="1"/>
    <row r="17" s="127" customFormat="1"/>
    <row r="18" s="127" customFormat="1"/>
    <row r="19" s="127" customFormat="1"/>
    <row r="20" s="127" customFormat="1"/>
    <row r="21" s="127" customFormat="1"/>
    <row r="22" s="127" customFormat="1"/>
    <row r="23" s="127" customFormat="1"/>
    <row r="24" s="127" customFormat="1"/>
    <row r="25" s="127" customFormat="1"/>
    <row r="26" s="127" customFormat="1"/>
    <row r="27" s="127" customFormat="1"/>
    <row r="28" s="127" customFormat="1"/>
    <row r="29" s="127" customFormat="1"/>
    <row r="30" s="127" customFormat="1"/>
    <row r="31" s="127" customFormat="1"/>
    <row r="32" s="127" customFormat="1"/>
    <row r="33" s="127" customFormat="1"/>
    <row r="34" s="127" customFormat="1"/>
    <row r="35" s="127" customFormat="1"/>
    <row r="36" s="127" customFormat="1"/>
    <row r="37" s="127" customFormat="1"/>
    <row r="38" s="127" customFormat="1"/>
    <row r="39" s="127" customFormat="1"/>
    <row r="40" s="127" customFormat="1"/>
    <row r="41" s="127" customFormat="1"/>
    <row r="42" s="127" customFormat="1"/>
    <row r="43" s="127" customFormat="1"/>
    <row r="44" s="127" customFormat="1"/>
    <row r="45" s="127" customFormat="1"/>
    <row r="46" s="127" customFormat="1"/>
    <row r="47" s="127" customFormat="1"/>
    <row r="48" s="127" customFormat="1"/>
    <row r="49" s="127" customFormat="1"/>
    <row r="50" s="127" customFormat="1"/>
  </sheetData>
  <pageMargins left="0.7" right="0.7" top="0.75" bottom="0.75" header="0.3" footer="0.3"/>
  <pageSetup orientation="portrait" r:id="rId1"/>
  <ignoredErrors>
    <ignoredError sqref="C1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48"/>
  <sheetViews>
    <sheetView showGridLines="0" zoomScale="70" zoomScaleNormal="70" workbookViewId="0">
      <selection sqref="A1:C1"/>
    </sheetView>
  </sheetViews>
  <sheetFormatPr baseColWidth="10" defaultColWidth="10.83203125" defaultRowHeight="15"/>
  <cols>
    <col min="1" max="1" width="7.1640625" customWidth="1"/>
    <col min="2" max="2" width="7.1640625" style="127" customWidth="1"/>
    <col min="3" max="3" width="170.33203125" style="127" customWidth="1"/>
    <col min="4" max="18" width="10.83203125" style="127"/>
  </cols>
  <sheetData>
    <row r="1" spans="1:4" ht="31">
      <c r="A1" s="201" t="s">
        <v>270</v>
      </c>
      <c r="B1" s="201"/>
      <c r="C1" s="201"/>
      <c r="D1" s="133"/>
    </row>
    <row r="2" spans="1:4" ht="29">
      <c r="A2" s="157"/>
      <c r="B2" s="133"/>
      <c r="C2" s="133"/>
      <c r="D2" s="133"/>
    </row>
    <row r="3" spans="1:4" ht="94" customHeight="1">
      <c r="A3" s="200" t="s">
        <v>355</v>
      </c>
      <c r="B3" s="200"/>
      <c r="C3" s="200"/>
      <c r="D3" s="133"/>
    </row>
    <row r="4" spans="1:4" ht="29">
      <c r="A4" s="157"/>
      <c r="B4" s="133"/>
      <c r="C4" s="133"/>
      <c r="D4" s="133"/>
    </row>
    <row r="5" spans="1:4" ht="55.5" customHeight="1">
      <c r="A5" s="199" t="s">
        <v>348</v>
      </c>
      <c r="B5" s="199"/>
      <c r="C5" s="199"/>
      <c r="D5" s="133"/>
    </row>
    <row r="6" spans="1:4" ht="26">
      <c r="A6" s="159"/>
      <c r="B6" s="198" t="s">
        <v>350</v>
      </c>
      <c r="C6" s="198"/>
      <c r="D6" s="133"/>
    </row>
    <row r="7" spans="1:4" ht="26">
      <c r="A7" s="159"/>
      <c r="B7" s="198" t="s">
        <v>276</v>
      </c>
      <c r="C7" s="198"/>
      <c r="D7" s="133"/>
    </row>
    <row r="8" spans="1:4" ht="26">
      <c r="A8" s="159"/>
      <c r="B8" s="198" t="s">
        <v>356</v>
      </c>
      <c r="C8" s="198"/>
      <c r="D8" s="133"/>
    </row>
    <row r="9" spans="1:4" ht="26">
      <c r="A9" s="159"/>
      <c r="B9" s="198" t="s">
        <v>351</v>
      </c>
      <c r="C9" s="198"/>
      <c r="D9" s="133"/>
    </row>
    <row r="10" spans="1:4" ht="26">
      <c r="A10" s="159"/>
      <c r="B10" s="133"/>
      <c r="C10" s="158" t="s">
        <v>367</v>
      </c>
      <c r="D10" s="133"/>
    </row>
    <row r="11" spans="1:4" ht="26">
      <c r="A11" s="159"/>
      <c r="B11" s="133"/>
      <c r="C11" s="158" t="s">
        <v>368</v>
      </c>
      <c r="D11" s="133"/>
    </row>
    <row r="12" spans="1:4" ht="26">
      <c r="A12" s="158"/>
      <c r="B12" s="133"/>
      <c r="C12" s="133"/>
      <c r="D12" s="133"/>
    </row>
    <row r="13" spans="1:4" ht="26">
      <c r="A13" s="158" t="s">
        <v>277</v>
      </c>
      <c r="B13" s="133"/>
      <c r="C13" s="133"/>
      <c r="D13" s="133"/>
    </row>
    <row r="14" spans="1:4" ht="26">
      <c r="A14" s="159"/>
      <c r="B14" s="197" t="s">
        <v>349</v>
      </c>
      <c r="C14" s="197"/>
      <c r="D14" s="133"/>
    </row>
    <row r="15" spans="1:4" ht="26">
      <c r="A15" s="159"/>
      <c r="B15" s="197" t="s">
        <v>278</v>
      </c>
      <c r="C15" s="197"/>
      <c r="D15" s="133"/>
    </row>
    <row r="16" spans="1:4" ht="26">
      <c r="A16" s="159"/>
      <c r="B16" s="197" t="s">
        <v>279</v>
      </c>
      <c r="C16" s="197"/>
      <c r="D16" s="133"/>
    </row>
    <row r="17" spans="1:18" ht="48.5" customHeight="1">
      <c r="A17" s="159"/>
      <c r="B17" s="197" t="s">
        <v>352</v>
      </c>
      <c r="C17" s="197"/>
      <c r="D17" s="133"/>
    </row>
    <row r="18" spans="1:18" ht="26">
      <c r="A18" s="158"/>
      <c r="B18" s="133"/>
      <c r="C18" s="133"/>
      <c r="D18" s="133"/>
    </row>
    <row r="19" spans="1:18" ht="26">
      <c r="A19" s="158" t="s">
        <v>280</v>
      </c>
      <c r="B19" s="133"/>
      <c r="C19" s="133"/>
      <c r="D19" s="133"/>
    </row>
    <row r="20" spans="1:18" ht="26">
      <c r="A20" s="159"/>
      <c r="B20" s="198" t="s">
        <v>357</v>
      </c>
      <c r="C20" s="198"/>
      <c r="D20" s="133"/>
    </row>
    <row r="21" spans="1:18" ht="52">
      <c r="A21" s="159"/>
      <c r="B21" s="133"/>
      <c r="C21" s="164" t="s">
        <v>369</v>
      </c>
      <c r="D21" s="133"/>
    </row>
    <row r="22" spans="1:18" ht="26">
      <c r="A22" s="159"/>
      <c r="B22" s="133"/>
      <c r="C22" s="164" t="s">
        <v>370</v>
      </c>
      <c r="D22" s="133"/>
    </row>
    <row r="23" spans="1:18" ht="52">
      <c r="A23" s="159"/>
      <c r="B23" s="133"/>
      <c r="C23" s="164" t="s">
        <v>371</v>
      </c>
      <c r="D23" s="133"/>
    </row>
    <row r="24" spans="1:18" ht="26">
      <c r="A24" s="159"/>
      <c r="B24" s="198" t="s">
        <v>281</v>
      </c>
      <c r="C24" s="198"/>
      <c r="D24" s="133"/>
    </row>
    <row r="25" spans="1:18" ht="52">
      <c r="A25" s="159"/>
      <c r="B25" s="133"/>
      <c r="C25" s="164" t="s">
        <v>372</v>
      </c>
      <c r="D25" s="133"/>
    </row>
    <row r="26" spans="1:18" ht="54" customHeight="1">
      <c r="A26" s="159"/>
      <c r="B26" s="197" t="s">
        <v>282</v>
      </c>
      <c r="C26" s="197"/>
      <c r="D26" s="133"/>
    </row>
    <row r="27" spans="1:18" ht="52">
      <c r="A27" s="159"/>
      <c r="B27" s="133"/>
      <c r="C27" s="164" t="s">
        <v>373</v>
      </c>
      <c r="D27" s="133"/>
    </row>
    <row r="28" spans="1:18" ht="26">
      <c r="A28" s="158"/>
      <c r="B28" s="133"/>
      <c r="C28" s="133"/>
      <c r="D28" s="133"/>
    </row>
    <row r="29" spans="1:18" ht="55.5" customHeight="1">
      <c r="A29" s="197" t="s">
        <v>283</v>
      </c>
      <c r="B29" s="197"/>
      <c r="C29" s="197"/>
      <c r="D29" s="133"/>
    </row>
    <row r="30" spans="1:18" s="155" customFormat="1" ht="53" customHeight="1">
      <c r="A30" s="160"/>
      <c r="B30" s="197" t="s">
        <v>374</v>
      </c>
      <c r="C30" s="197"/>
      <c r="D30" s="161"/>
      <c r="E30" s="156"/>
      <c r="F30" s="156"/>
      <c r="G30" s="156"/>
      <c r="H30" s="156"/>
      <c r="I30" s="156"/>
      <c r="J30" s="156"/>
      <c r="K30" s="156"/>
      <c r="L30" s="156"/>
      <c r="M30" s="156"/>
      <c r="N30" s="156"/>
      <c r="O30" s="156"/>
      <c r="P30" s="156"/>
      <c r="Q30" s="156"/>
      <c r="R30" s="156"/>
    </row>
    <row r="31" spans="1:18" s="155" customFormat="1" ht="51" customHeight="1">
      <c r="A31" s="160"/>
      <c r="B31" s="197" t="s">
        <v>375</v>
      </c>
      <c r="C31" s="197"/>
      <c r="D31" s="161"/>
      <c r="E31" s="156"/>
      <c r="F31" s="156"/>
      <c r="G31" s="156"/>
      <c r="H31" s="156"/>
      <c r="I31" s="156"/>
      <c r="J31" s="156"/>
      <c r="K31" s="156"/>
      <c r="L31" s="156"/>
      <c r="M31" s="156"/>
      <c r="N31" s="156"/>
      <c r="O31" s="156"/>
      <c r="P31" s="156"/>
      <c r="Q31" s="156"/>
      <c r="R31" s="156"/>
    </row>
    <row r="32" spans="1:18" ht="24" customHeight="1">
      <c r="A32" s="158"/>
      <c r="B32" s="133"/>
      <c r="C32" s="133"/>
      <c r="D32" s="133"/>
    </row>
    <row r="33" spans="1:4" ht="26">
      <c r="A33" s="158" t="s">
        <v>284</v>
      </c>
      <c r="B33" s="133"/>
      <c r="C33" s="133"/>
      <c r="D33" s="133"/>
    </row>
    <row r="34" spans="1:4" ht="53" customHeight="1">
      <c r="A34" s="159"/>
      <c r="B34" s="197" t="s">
        <v>364</v>
      </c>
      <c r="C34" s="197"/>
      <c r="D34" s="133"/>
    </row>
    <row r="35" spans="1:4" ht="26">
      <c r="A35" s="158"/>
      <c r="B35" s="133"/>
      <c r="C35" s="133"/>
      <c r="D35" s="133"/>
    </row>
    <row r="36" spans="1:4" ht="51.5" customHeight="1">
      <c r="A36" s="197" t="s">
        <v>285</v>
      </c>
      <c r="B36" s="197"/>
      <c r="C36" s="197"/>
      <c r="D36" s="133"/>
    </row>
    <row r="37" spans="1:4" ht="26">
      <c r="A37" s="159"/>
      <c r="B37" s="158" t="s">
        <v>286</v>
      </c>
      <c r="C37" s="133"/>
      <c r="D37" s="133"/>
    </row>
    <row r="38" spans="1:4" ht="26">
      <c r="A38" s="159"/>
      <c r="B38" s="158" t="s">
        <v>287</v>
      </c>
      <c r="C38" s="133"/>
      <c r="D38" s="133"/>
    </row>
    <row r="39" spans="1:4" ht="26">
      <c r="A39" s="159"/>
      <c r="B39" s="158" t="s">
        <v>288</v>
      </c>
      <c r="C39" s="133"/>
      <c r="D39" s="133"/>
    </row>
    <row r="40" spans="1:4" ht="26">
      <c r="A40" s="158"/>
      <c r="B40" s="133"/>
      <c r="C40" s="133"/>
      <c r="D40" s="133"/>
    </row>
    <row r="41" spans="1:4" ht="26">
      <c r="A41" s="158" t="s">
        <v>289</v>
      </c>
      <c r="B41" s="133"/>
      <c r="C41" s="133"/>
      <c r="D41" s="133"/>
    </row>
    <row r="42" spans="1:4" ht="26">
      <c r="A42" s="159"/>
      <c r="B42" s="158" t="s">
        <v>290</v>
      </c>
      <c r="C42" s="133"/>
      <c r="D42" s="133"/>
    </row>
    <row r="43" spans="1:4" ht="53" customHeight="1">
      <c r="A43" s="159"/>
      <c r="B43" s="197" t="s">
        <v>291</v>
      </c>
      <c r="C43" s="197"/>
      <c r="D43" s="133"/>
    </row>
    <row r="44" spans="1:4" ht="26">
      <c r="A44" s="158"/>
      <c r="B44" s="133"/>
      <c r="C44" s="133"/>
      <c r="D44" s="133"/>
    </row>
    <row r="45" spans="1:4" ht="54" customHeight="1">
      <c r="A45" s="197" t="s">
        <v>353</v>
      </c>
      <c r="B45" s="197"/>
      <c r="C45" s="197"/>
      <c r="D45" s="133"/>
    </row>
    <row r="46" spans="1:4" ht="26">
      <c r="A46" s="159"/>
      <c r="B46" s="158" t="s">
        <v>292</v>
      </c>
      <c r="C46" s="133"/>
      <c r="D46" s="133"/>
    </row>
    <row r="47" spans="1:4" ht="26">
      <c r="A47" s="159"/>
      <c r="B47" s="158" t="s">
        <v>293</v>
      </c>
      <c r="C47" s="133"/>
      <c r="D47" s="133"/>
    </row>
    <row r="48" spans="1:4" ht="55.5" customHeight="1">
      <c r="A48" s="159"/>
      <c r="B48" s="197" t="s">
        <v>354</v>
      </c>
      <c r="C48" s="197"/>
      <c r="D48" s="133"/>
    </row>
    <row r="49" spans="1:4" ht="26">
      <c r="A49" s="158"/>
      <c r="B49" s="133"/>
      <c r="C49" s="133"/>
      <c r="D49" s="133"/>
    </row>
    <row r="50" spans="1:4" ht="26">
      <c r="A50" s="158" t="s">
        <v>294</v>
      </c>
      <c r="B50" s="133"/>
      <c r="C50" s="133"/>
      <c r="D50" s="133"/>
    </row>
    <row r="51" spans="1:4" ht="26">
      <c r="A51" s="159"/>
      <c r="B51" s="158" t="s">
        <v>295</v>
      </c>
      <c r="C51" s="133"/>
      <c r="D51" s="133"/>
    </row>
    <row r="52" spans="1:4" ht="48.5" customHeight="1">
      <c r="A52" s="159"/>
      <c r="B52" s="197" t="s">
        <v>296</v>
      </c>
      <c r="C52" s="197"/>
      <c r="D52" s="133"/>
    </row>
    <row r="53" spans="1:4" ht="26">
      <c r="A53" s="158"/>
      <c r="B53" s="133"/>
      <c r="C53" s="133"/>
      <c r="D53" s="133"/>
    </row>
    <row r="54" spans="1:4" ht="26">
      <c r="A54" s="158" t="s">
        <v>297</v>
      </c>
      <c r="B54" s="133"/>
      <c r="C54" s="133"/>
      <c r="D54" s="133"/>
    </row>
    <row r="55" spans="1:4" ht="54" customHeight="1">
      <c r="A55" s="159"/>
      <c r="B55" s="197" t="s">
        <v>298</v>
      </c>
      <c r="C55" s="197"/>
      <c r="D55" s="133"/>
    </row>
    <row r="56" spans="1:4" ht="49.5" customHeight="1">
      <c r="A56" s="159"/>
      <c r="B56" s="197" t="s">
        <v>299</v>
      </c>
      <c r="C56" s="197"/>
      <c r="D56" s="133"/>
    </row>
    <row r="57" spans="1:4" ht="26">
      <c r="A57" s="158"/>
      <c r="B57" s="133"/>
      <c r="C57" s="133"/>
      <c r="D57" s="133"/>
    </row>
    <row r="58" spans="1:4" ht="26">
      <c r="A58" s="158" t="s">
        <v>300</v>
      </c>
      <c r="B58" s="133"/>
      <c r="C58" s="133"/>
      <c r="D58" s="133"/>
    </row>
    <row r="59" spans="1:4" ht="54" customHeight="1">
      <c r="A59" s="159"/>
      <c r="B59" s="197" t="s">
        <v>301</v>
      </c>
      <c r="C59" s="197"/>
      <c r="D59" s="133"/>
    </row>
    <row r="60" spans="1:4" ht="26">
      <c r="A60" s="162"/>
      <c r="B60" s="133"/>
      <c r="C60" s="133"/>
      <c r="D60" s="133"/>
    </row>
    <row r="61" spans="1:4" ht="26">
      <c r="A61" s="165" t="s">
        <v>376</v>
      </c>
      <c r="B61" s="133"/>
      <c r="C61" s="133"/>
      <c r="D61" s="133"/>
    </row>
    <row r="62" spans="1:4" ht="26">
      <c r="A62" s="163" t="s">
        <v>207</v>
      </c>
      <c r="B62" s="133"/>
      <c r="C62" s="133"/>
      <c r="D62" s="133"/>
    </row>
    <row r="63" spans="1:4">
      <c r="A63" s="161"/>
      <c r="B63" s="133"/>
      <c r="C63" s="133"/>
      <c r="D63" s="133"/>
    </row>
    <row r="64" spans="1:4" s="127" customFormat="1"/>
    <row r="65" s="127" customFormat="1"/>
    <row r="66" s="127" customFormat="1"/>
    <row r="67" s="127" customFormat="1"/>
    <row r="68" s="127" customFormat="1"/>
    <row r="69" s="127" customFormat="1"/>
    <row r="70" s="127" customFormat="1"/>
    <row r="71" s="127" customFormat="1"/>
    <row r="72" s="127" customFormat="1"/>
    <row r="73" s="127" customFormat="1"/>
    <row r="74" s="127" customFormat="1"/>
    <row r="75" s="127" customFormat="1"/>
    <row r="76" s="127" customFormat="1"/>
    <row r="77" s="127" customFormat="1"/>
    <row r="78" s="127" customFormat="1"/>
    <row r="79" s="127" customFormat="1"/>
    <row r="80" s="127" customFormat="1"/>
    <row r="81" s="127" customFormat="1"/>
    <row r="82" s="127" customFormat="1"/>
    <row r="83" s="127" customFormat="1"/>
    <row r="84" s="127" customFormat="1"/>
    <row r="85" s="127" customFormat="1"/>
    <row r="86" s="127" customFormat="1"/>
    <row r="87" s="127" customFormat="1"/>
    <row r="88" s="127" customFormat="1"/>
    <row r="89" s="127" customFormat="1"/>
    <row r="90" s="127" customFormat="1"/>
    <row r="91" s="127" customFormat="1"/>
    <row r="92" s="127" customFormat="1"/>
    <row r="93" s="127" customFormat="1"/>
    <row r="94" s="127" customFormat="1"/>
    <row r="95" s="127" customFormat="1"/>
    <row r="96" s="127" customFormat="1"/>
    <row r="97" s="127" customFormat="1"/>
    <row r="98" s="127" customFormat="1"/>
    <row r="99" s="127" customFormat="1"/>
    <row r="100" s="127" customFormat="1"/>
    <row r="101" s="127" customFormat="1"/>
    <row r="102" s="127" customFormat="1"/>
    <row r="103" s="127" customFormat="1"/>
    <row r="104" s="127" customFormat="1"/>
    <row r="105" s="127" customFormat="1"/>
    <row r="106" s="127" customFormat="1"/>
    <row r="107" s="127" customFormat="1"/>
    <row r="108" s="127" customFormat="1"/>
    <row r="109" s="127" customFormat="1"/>
    <row r="110" s="127" customFormat="1"/>
    <row r="111" s="127" customFormat="1"/>
    <row r="112" s="127" customFormat="1"/>
    <row r="113" s="127" customFormat="1"/>
    <row r="114" s="127" customFormat="1"/>
    <row r="115" s="127" customFormat="1"/>
    <row r="116" s="127" customFormat="1"/>
    <row r="117" s="127" customFormat="1"/>
    <row r="118" s="127" customFormat="1"/>
    <row r="119" s="127" customFormat="1"/>
    <row r="120" s="127" customFormat="1"/>
    <row r="121" s="127" customFormat="1"/>
    <row r="122" s="127" customFormat="1"/>
    <row r="123" s="127" customFormat="1"/>
    <row r="124" s="127" customFormat="1"/>
    <row r="125" s="127" customFormat="1"/>
    <row r="126" s="127" customFormat="1"/>
    <row r="127" s="127" customFormat="1"/>
    <row r="128" s="127" customFormat="1"/>
    <row r="129" s="127" customFormat="1"/>
    <row r="130" s="127" customFormat="1"/>
    <row r="131" s="127" customFormat="1"/>
    <row r="132" s="127" customFormat="1"/>
    <row r="133" s="127" customFormat="1"/>
    <row r="134" s="127" customFormat="1"/>
    <row r="135" s="127" customFormat="1"/>
    <row r="136" s="127" customFormat="1"/>
    <row r="137" s="127" customFormat="1"/>
    <row r="138" s="127" customFormat="1"/>
    <row r="139" s="127" customFormat="1"/>
    <row r="140" s="127" customFormat="1"/>
    <row r="141" s="127" customFormat="1"/>
    <row r="142" s="127" customFormat="1"/>
    <row r="143" s="127" customFormat="1"/>
    <row r="144" s="127" customFormat="1"/>
    <row r="145" s="127" customFormat="1"/>
    <row r="146" s="127" customFormat="1"/>
    <row r="147" s="127" customFormat="1"/>
    <row r="148" s="127" customFormat="1"/>
  </sheetData>
  <mergeCells count="26">
    <mergeCell ref="B9:C9"/>
    <mergeCell ref="A5:C5"/>
    <mergeCell ref="A3:C3"/>
    <mergeCell ref="A1:C1"/>
    <mergeCell ref="B6:C6"/>
    <mergeCell ref="B7:C7"/>
    <mergeCell ref="B8:C8"/>
    <mergeCell ref="A36:C36"/>
    <mergeCell ref="B15:C15"/>
    <mergeCell ref="B16:C16"/>
    <mergeCell ref="B14:C14"/>
    <mergeCell ref="B17:C17"/>
    <mergeCell ref="B20:C20"/>
    <mergeCell ref="B24:C24"/>
    <mergeCell ref="B26:C26"/>
    <mergeCell ref="A29:C29"/>
    <mergeCell ref="B30:C30"/>
    <mergeCell ref="B31:C31"/>
    <mergeCell ref="B34:C34"/>
    <mergeCell ref="B59:C59"/>
    <mergeCell ref="B43:C43"/>
    <mergeCell ref="A45:C45"/>
    <mergeCell ref="B48:C48"/>
    <mergeCell ref="B52:C52"/>
    <mergeCell ref="B55:C55"/>
    <mergeCell ref="B56:C56"/>
  </mergeCells>
  <hyperlinks>
    <hyperlink ref="C23" r:id="rId1" location="_ftn1" display="applewebdata://46D81CE9-9AC4-4358-A5A5-F64161154CB8/ - _ftn1" xr:uid="{00000000-0004-0000-0600-000000000000}"/>
    <hyperlink ref="A62" r:id="rId2" location="_ftnref1" display="applewebdata://46D81CE9-9AC4-4358-A5A5-F64161154CB8/ - _ftnref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8.83203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54</vt:i4>
      </vt:variant>
    </vt:vector>
  </HeadingPairs>
  <TitlesOfParts>
    <vt:vector size="62" baseType="lpstr">
      <vt:lpstr>Instructions</vt:lpstr>
      <vt:lpstr>Hotel Details</vt:lpstr>
      <vt:lpstr>Equipment Details</vt:lpstr>
      <vt:lpstr>Fiber Optics (GPON)</vt:lpstr>
      <vt:lpstr>Copper</vt:lpstr>
      <vt:lpstr>Comparisons</vt:lpstr>
      <vt:lpstr>GPON Considerations</vt:lpstr>
      <vt:lpstr>Sheet1</vt:lpstr>
      <vt:lpstr>Comparisons!_ftn1</vt:lpstr>
      <vt:lpstr>Comparisons!_ftnref1</vt:lpstr>
      <vt:lpstr>AvgCableLengthCopper</vt:lpstr>
      <vt:lpstr>AvgCableLengthGPON</vt:lpstr>
      <vt:lpstr>AvgCableLengthONTtoDevice</vt:lpstr>
      <vt:lpstr>AvgCableLengthONTtoDeviceMeetingSpace</vt:lpstr>
      <vt:lpstr>BackboneRuns</vt:lpstr>
      <vt:lpstr>BackofHouseTotalPortCount</vt:lpstr>
      <vt:lpstr>BohONTPortSizeDefault</vt:lpstr>
      <vt:lpstr>CablingDistance</vt:lpstr>
      <vt:lpstr>ConfSpaceONTportSizeDefault</vt:lpstr>
      <vt:lpstr>Copper_Maintenance</vt:lpstr>
      <vt:lpstr>Copper_SLA</vt:lpstr>
      <vt:lpstr>CopperCablePorts</vt:lpstr>
      <vt:lpstr>CoreSwitchWattage</vt:lpstr>
      <vt:lpstr>EdgeSwitches</vt:lpstr>
      <vt:lpstr>GPON_Maintenance</vt:lpstr>
      <vt:lpstr>GPON_SLA</vt:lpstr>
      <vt:lpstr>GPONSupportContractDefault</vt:lpstr>
      <vt:lpstr>GuestRoomONTportCountDefault</vt:lpstr>
      <vt:lpstr>KwHCost</vt:lpstr>
      <vt:lpstr>MeetingRoomTotalPortCount</vt:lpstr>
      <vt:lpstr>NonGuestRoomTotalPortCount</vt:lpstr>
      <vt:lpstr>NumberFloors</vt:lpstr>
      <vt:lpstr>NumberHotelRooms</vt:lpstr>
      <vt:lpstr>NumberHotelSuites</vt:lpstr>
      <vt:lpstr>NumberIDFs</vt:lpstr>
      <vt:lpstr>NumberMeetingRooms</vt:lpstr>
      <vt:lpstr>OLT_Wattage</vt:lpstr>
      <vt:lpstr>OLTEthernetCoreConnections</vt:lpstr>
      <vt:lpstr>OLTLineCardPortDefault</vt:lpstr>
      <vt:lpstr>ONT_WATTS</vt:lpstr>
      <vt:lpstr>ONTportCountDefault</vt:lpstr>
      <vt:lpstr>PortsPerGuestRoom</vt:lpstr>
      <vt:lpstr>PortsPerSuite</vt:lpstr>
      <vt:lpstr>PublicAreaONTPortSizeDefault</vt:lpstr>
      <vt:lpstr>SplitRatio</vt:lpstr>
      <vt:lpstr>Switch_Watts</vt:lpstr>
      <vt:lpstr>SwitchWattage</vt:lpstr>
      <vt:lpstr>SwitchWatts</vt:lpstr>
      <vt:lpstr>TotalCostCopper</vt:lpstr>
      <vt:lpstr>TotalCostGPON</vt:lpstr>
      <vt:lpstr>TotalElectronicsCopper</vt:lpstr>
      <vt:lpstr>TotalElectronicsGPON</vt:lpstr>
      <vt:lpstr>TotalGuestRoomONTCount</vt:lpstr>
      <vt:lpstr>TotalGuestRooms</vt:lpstr>
      <vt:lpstr>TotalInfrastructureCopper</vt:lpstr>
      <vt:lpstr>TotalInfrastructureGPON</vt:lpstr>
      <vt:lpstr>TotalLaborCopper</vt:lpstr>
      <vt:lpstr>TotalLaborGPON</vt:lpstr>
      <vt:lpstr>TotalPortCount</vt:lpstr>
      <vt:lpstr>TotalPortsGuestRoom</vt:lpstr>
      <vt:lpstr>TotalPortsSuites</vt:lpstr>
      <vt:lpstr>WattsPerGR_GPON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Corning Non-Corning</cp:keywords>
  <cp:lastModifiedBy/>
  <dcterms:created xsi:type="dcterms:W3CDTF">2015-06-05T18:17:20Z</dcterms:created>
  <dcterms:modified xsi:type="dcterms:W3CDTF">2018-09-10T15:43:49Z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2c57ff02-c136-446b-bd58-c8032a0f5401</vt:lpwstr>
  </property>
  <property fmtid="{D5CDD505-2E9C-101B-9397-08002B2CF9AE}" pid="3" name="CorningConfigurationVersion">
    <vt:lpwstr>3.0.11.5.6.1EN</vt:lpwstr>
  </property>
  <property fmtid="{D5CDD505-2E9C-101B-9397-08002B2CF9AE}" pid="4" name="CCTCode">
    <vt:lpwstr>NC</vt:lpwstr>
  </property>
  <property fmtid="{D5CDD505-2E9C-101B-9397-08002B2CF9AE}" pid="5" name="CorningFullClassification">
    <vt:lpwstr>Non-Corning</vt:lpwstr>
  </property>
  <property fmtid="{D5CDD505-2E9C-101B-9397-08002B2CF9AE}" pid="6" name="_NewReviewCycle">
    <vt:lpwstr/>
  </property>
  <property fmtid="{D5CDD505-2E9C-101B-9397-08002B2CF9AE}" pid="7" name="CRCCode">
    <vt:lpwstr/>
  </property>
  <property fmtid="{D5CDD505-2E9C-101B-9397-08002B2CF9AE}" pid="8" name="CORNINGClassification">
    <vt:lpwstr>Non-Corning</vt:lpwstr>
  </property>
  <property fmtid="{D5CDD505-2E9C-101B-9397-08002B2CF9AE}" pid="9" name="CORNINGLabelExtension">
    <vt:lpwstr>None</vt:lpwstr>
  </property>
  <property fmtid="{D5CDD505-2E9C-101B-9397-08002B2CF9AE}" pid="10" name="CORNINGDisplayOptionalMarkingLanguage">
    <vt:lpwstr>None</vt:lpwstr>
  </property>
  <property fmtid="{D5CDD505-2E9C-101B-9397-08002B2CF9AE}" pid="11" name="CORNINGMarkingOption">
    <vt:lpwstr>Automatic</vt:lpwstr>
  </property>
  <property fmtid="{D5CDD505-2E9C-101B-9397-08002B2CF9AE}" pid="12" name="_AdHocReviewCycleID">
    <vt:i4>248381866</vt:i4>
  </property>
</Properties>
</file>